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<sst xmlns="http://schemas.openxmlformats.org/spreadsheetml/2006/main" count="700" uniqueCount="417">
  <si>
    <t>Лот №3</t>
  </si>
  <si>
    <t>Приложение № 1</t>
  </si>
  <si>
    <t>к проекту Договора аренды</t>
  </si>
  <si>
    <t>имущества муниципальной собственности</t>
  </si>
  <si>
    <t>№ п/п</t>
  </si>
  <si>
    <t>Наименование</t>
  </si>
  <si>
    <t>Реестровый номер</t>
  </si>
  <si>
    <t>Адрес (местоположение)</t>
  </si>
  <si>
    <t>Площадь, кв.м.
Общая площадь</t>
  </si>
  <si>
    <t>Стоимость</t>
  </si>
  <si>
    <t>Данные БТИ
Год постройки</t>
  </si>
  <si>
    <t>Балансовая стоимость, руб.</t>
  </si>
  <si>
    <t>Остаточная стоимость, руб.</t>
  </si>
  <si>
    <t>Износ</t>
  </si>
  <si>
    <t>1</t>
  </si>
  <si>
    <t>2</t>
  </si>
  <si>
    <t>3</t>
  </si>
  <si>
    <t>4</t>
  </si>
  <si>
    <t>5</t>
  </si>
  <si>
    <t>6</t>
  </si>
  <si>
    <t>7</t>
  </si>
  <si>
    <t>8</t>
  </si>
  <si>
    <t>Кирпичное здание водозабора</t>
  </si>
  <si>
    <t>МО-03-00158-рн</t>
  </si>
  <si>
    <t>665103, Россия, Иркутская обл, г. Нижнеудинск, пер. Победы, д.3А</t>
  </si>
  <si>
    <t/>
  </si>
  <si>
    <t>1973</t>
  </si>
  <si>
    <t>Пристрой к насосной станции подземного водозабора</t>
  </si>
  <si>
    <t>МО-3-00ххх-рн</t>
  </si>
  <si>
    <t>665104, Россия, Иркутская обл, г. Нижнеудинск, ул. Экспериментальная, д.35</t>
  </si>
  <si>
    <t>15</t>
  </si>
  <si>
    <t>2008</t>
  </si>
  <si>
    <t>Станция насосная береговая первого подъема водозабора</t>
  </si>
  <si>
    <t>МО-3-00158-рн</t>
  </si>
  <si>
    <t>665106, Россия, Иркутская обл, г. Нижнеудинск, ул. Победы, д.3А</t>
  </si>
  <si>
    <t>157</t>
  </si>
  <si>
    <t>1984</t>
  </si>
  <si>
    <t>Итого</t>
  </si>
  <si>
    <t>346,1</t>
  </si>
  <si>
    <t>х</t>
  </si>
  <si>
    <t>Общая площадь/Протяженность
Общая площадь/Протяженность</t>
  </si>
  <si>
    <t>Данные БТИ
Год ввода в эксплуатацию</t>
  </si>
  <si>
    <t>Артезианская скважина</t>
  </si>
  <si>
    <t>МО-3-0539-рс</t>
  </si>
  <si>
    <t>665106, Россия, Иркутская обл, г. Нижнеудинск ул.Гагарина</t>
  </si>
  <si>
    <t>МО-3-0544-рс</t>
  </si>
  <si>
    <t>665106, Россия, Иркутская обл, г. Нижнеудинск, ул. Полевая, д.24</t>
  </si>
  <si>
    <t>1970</t>
  </si>
  <si>
    <t>Водонапорная башня со скважиной</t>
  </si>
  <si>
    <t>МО-3-0482-рс</t>
  </si>
  <si>
    <t>665102, Россия, Иркутская обл, г. Нижнеудинск Ольшевского в районе гаража</t>
  </si>
  <si>
    <t>16</t>
  </si>
  <si>
    <t>1990</t>
  </si>
  <si>
    <t>МО-3-0537-рс</t>
  </si>
  <si>
    <t>665106, Россия, Иркутская обл, г. Нижнеудинск ул.Гоголя у школы № 12</t>
  </si>
  <si>
    <t>Водонапорная башня</t>
  </si>
  <si>
    <t>МО-3-0484-рс</t>
  </si>
  <si>
    <t>665106, Россия, Иркутская обл, г. Нижнеудинск, ул. Октябрьская, д.1</t>
  </si>
  <si>
    <t>1953</t>
  </si>
  <si>
    <t>МО-3-0494-рс</t>
  </si>
  <si>
    <t>665106, Россия, Иркутская обл, г. Нижнеудинск пер.Безымянный</t>
  </si>
  <si>
    <t>50</t>
  </si>
  <si>
    <t>1962</t>
  </si>
  <si>
    <t>МО-3-0538-рс</t>
  </si>
  <si>
    <t>665106, Россия, Иркутская обл, г. Нижнеудинск ул.Снежная, в районе, д.6</t>
  </si>
  <si>
    <t>1975</t>
  </si>
  <si>
    <t>МО-3-0545-рс</t>
  </si>
  <si>
    <t>665106, Россия, Иркутская обл, г. Нижнеудинск ул. Советская, д.35а</t>
  </si>
  <si>
    <t>1979</t>
  </si>
  <si>
    <t>9</t>
  </si>
  <si>
    <t>Водонасосная станция</t>
  </si>
  <si>
    <t>МО-3-0486-рс</t>
  </si>
  <si>
    <t>665106, Россия, Иркутская обл, г. Нижнеудинск Знаменская в районе дома №95</t>
  </si>
  <si>
    <t>10</t>
  </si>
  <si>
    <t>Водопровод</t>
  </si>
  <si>
    <t>МО-3-0493-рс</t>
  </si>
  <si>
    <t>665106, Россия, Иркутская обл, г. Нижнеудинск ПМК 171</t>
  </si>
  <si>
    <t>1980</t>
  </si>
  <si>
    <t>11</t>
  </si>
  <si>
    <t>Водопроводная башня с водопроводом</t>
  </si>
  <si>
    <t>МО-3-0553-рс</t>
  </si>
  <si>
    <t>665106, Россия, Иркутская обл, г. Нижнеудинск ул.Восточный переезд 21 от В\Н башни до кот. к ж.д №21 к.1,2,3</t>
  </si>
  <si>
    <t>537</t>
  </si>
  <si>
    <t>2010</t>
  </si>
  <si>
    <t>12</t>
  </si>
  <si>
    <t xml:space="preserve">Водопроводные сети </t>
  </si>
  <si>
    <t>МО-3-0510-рс</t>
  </si>
  <si>
    <t>665106, Россия, Иркутская обл, г. Нижнеудинск ул.Восточный переезд</t>
  </si>
  <si>
    <t>760</t>
  </si>
  <si>
    <t>1976</t>
  </si>
  <si>
    <t>13</t>
  </si>
  <si>
    <t>Водопроводные сети от электрокотельной по ул. Транспортная 69В</t>
  </si>
  <si>
    <t>МО-3-0542-рс</t>
  </si>
  <si>
    <t>665106, Россия, Иркутская обл, г. Нижнеудинск от эл.кот.по ул. Транспорная 69В к ж.д. №56,58,60, Ключевая №47</t>
  </si>
  <si>
    <t>255</t>
  </si>
  <si>
    <t>1983</t>
  </si>
  <si>
    <t>14</t>
  </si>
  <si>
    <t>Водопроводные сети</t>
  </si>
  <si>
    <t>МО-3-0495-рс</t>
  </si>
  <si>
    <t>665106, Россия, Иркутская обл, г. Нижнеудинск пер.Безымянный до ул. Знаменской</t>
  </si>
  <si>
    <t>815</t>
  </si>
  <si>
    <t>МО-3-0497-рс</t>
  </si>
  <si>
    <t>665106, Россия, Иркутская обл, г. Нижнеудинск от у.Петина по пер.Безымянному до у.2-Знаменская</t>
  </si>
  <si>
    <t>325</t>
  </si>
  <si>
    <t>МО-3-0498-рс</t>
  </si>
  <si>
    <t>665106, Россия, Иркутская обл, г. Нижнеудинск от станции второго подъема по пер.Безымянному до у.2-Знаменская</t>
  </si>
  <si>
    <t>250</t>
  </si>
  <si>
    <t>1978</t>
  </si>
  <si>
    <t>17</t>
  </si>
  <si>
    <t>МО-3-0499-рс</t>
  </si>
  <si>
    <t>665106, Россия, Иркутская обл, г. Нижнеудинск от п.Безымянного по у.6 Пятилетки до школы№48,Южная, п Безымянны</t>
  </si>
  <si>
    <t>3100</t>
  </si>
  <si>
    <t>18</t>
  </si>
  <si>
    <t>МО-3-0501-рс</t>
  </si>
  <si>
    <t>665106, Россия, Иркутская обл от ул.Кржижановского по ул.Знаменская до дома № 61</t>
  </si>
  <si>
    <t>900</t>
  </si>
  <si>
    <t>19</t>
  </si>
  <si>
    <t>МО-3-0502-рс</t>
  </si>
  <si>
    <t>665106, Россия, Иркутская обл, г. Нижнеудинск от ул.Кржижановского по ул.Петина до пер.Безымянного</t>
  </si>
  <si>
    <t>475</t>
  </si>
  <si>
    <t>20</t>
  </si>
  <si>
    <t>МО-3-0503-рс</t>
  </si>
  <si>
    <t>665106, Россия, Иркутская обл, г. Нижнеудинск от у.Кржижановского по у.Калинина до дома № 128</t>
  </si>
  <si>
    <t>435</t>
  </si>
  <si>
    <t>21</t>
  </si>
  <si>
    <t>МО-3-0504-рс</t>
  </si>
  <si>
    <t>665106, Россия, Иркутская обл, г. Нижнеудинск от у.Знаменской по у.Кржижановского до перекрестка с у. Калинина</t>
  </si>
  <si>
    <t>465</t>
  </si>
  <si>
    <t>22</t>
  </si>
  <si>
    <t>МО-3-0505-рс</t>
  </si>
  <si>
    <t>665106, Россия, Иркутская обл, г. Нижнеудинск от ул. Петина по ул. Индустриальная до ул. Знаменская</t>
  </si>
  <si>
    <t>275</t>
  </si>
  <si>
    <t>23</t>
  </si>
  <si>
    <t>МО-3-0506-рс</t>
  </si>
  <si>
    <t>665106, Россия, Иркутская обл, г. Нижнеудинск от ул.Калинина по ул. Индустриальная до дома №20</t>
  </si>
  <si>
    <t>305</t>
  </si>
  <si>
    <t>24</t>
  </si>
  <si>
    <t>МО-3-0507-рс</t>
  </si>
  <si>
    <t>665106, Россия, Иркутская обл, г. Нижнеудинск ул. Степная</t>
  </si>
  <si>
    <t>535</t>
  </si>
  <si>
    <t>25</t>
  </si>
  <si>
    <t>МО-3-0508-рс</t>
  </si>
  <si>
    <t>665106, Россия, Иркутская обл, г. Нижнеудинск ул. 2 Знаменская от э/котельной № 4 до НГЧ</t>
  </si>
  <si>
    <t>370</t>
  </si>
  <si>
    <t>26</t>
  </si>
  <si>
    <t>МО-3-0509-рс</t>
  </si>
  <si>
    <t>665106, Россия, Иркутская обл, г. Нижнеудинск от котельной по ул.Эксперементальная до дома № 15</t>
  </si>
  <si>
    <t>150</t>
  </si>
  <si>
    <t>27</t>
  </si>
  <si>
    <t>МО-3-0511-рс</t>
  </si>
  <si>
    <t>665106, Россия, Иркутская обл, г. Нижнеудинск от у.Водопроводная по у.Аллейная до здания № 19</t>
  </si>
  <si>
    <t>245</t>
  </si>
  <si>
    <t>1985</t>
  </si>
  <si>
    <t>28</t>
  </si>
  <si>
    <t>МО-3-0512-рс</t>
  </si>
  <si>
    <t>665106, Россия, Иркутская обл, г. Нижнеудинск от территории локомотивного депо по у.Краснопролетарская до д.35</t>
  </si>
  <si>
    <t>610</t>
  </si>
  <si>
    <t>1996</t>
  </si>
  <si>
    <t>29</t>
  </si>
  <si>
    <t>МО-3-0513-рс</t>
  </si>
  <si>
    <t>665106, Россия, Иркутская обл, г. Нижнеудинск от у.Ленина по ул.Масловского до ул.Зеленая</t>
  </si>
  <si>
    <t>2435</t>
  </si>
  <si>
    <t>1986</t>
  </si>
  <si>
    <t>30</t>
  </si>
  <si>
    <t>МО-3-0514-рс</t>
  </si>
  <si>
    <t>665106, Россия, Иркутская обл, г. Нижнеудинск ул. 2 Пролетарская, д.4</t>
  </si>
  <si>
    <t>1995</t>
  </si>
  <si>
    <t>31</t>
  </si>
  <si>
    <t>МО-3-0515-рс</t>
  </si>
  <si>
    <t>665106, Россия, Иркутская обл, г. Нижнеудинск ул. 4 Пролетарская от дома №17 до дома №24</t>
  </si>
  <si>
    <t>240</t>
  </si>
  <si>
    <t>32</t>
  </si>
  <si>
    <t>МО-3-0517-рс</t>
  </si>
  <si>
    <t xml:space="preserve">665106, Россия, Иркутская обл, г. Нижнеудинск от М.Горького по Лермонтова до Красного с отв.Кирова2,Некрасова </t>
  </si>
  <si>
    <t>570</t>
  </si>
  <si>
    <t>33</t>
  </si>
  <si>
    <t>МО-3-0519-рс</t>
  </si>
  <si>
    <t>665106, Россия, Иркутская обл, г. Нижнеудинск от Краснопартизанской по Красная до Гоголя с отв.Некрасова 2,8</t>
  </si>
  <si>
    <t>105</t>
  </si>
  <si>
    <t>1972</t>
  </si>
  <si>
    <t>34</t>
  </si>
  <si>
    <t>МО-3-0520-рс</t>
  </si>
  <si>
    <t>665106, Россия, Иркутская обл, г. Нижнеудинск от Лермонтова по М.Горького до Гоголя с отв.Болотная 1</t>
  </si>
  <si>
    <t>400</t>
  </si>
  <si>
    <t>35</t>
  </si>
  <si>
    <t>МО-3-0521-рс</t>
  </si>
  <si>
    <t>665106, Россия, Иркутская обл, г. Нижнеудинск от у.Кашика по у.Ленина до у.Масловского с ответвлениями на . ..</t>
  </si>
  <si>
    <t>1435</t>
  </si>
  <si>
    <t>1982</t>
  </si>
  <si>
    <t>36</t>
  </si>
  <si>
    <t>МО-3-0522-рс</t>
  </si>
  <si>
    <t>665106, Россия, Иркутская обл, г. Нижнеудинск от Гоголя по Уватскому,до Кашика с отв. до Новой 15,17</t>
  </si>
  <si>
    <t>210</t>
  </si>
  <si>
    <t>37</t>
  </si>
  <si>
    <t>МО-3-0523-рс</t>
  </si>
  <si>
    <t>665106, Россия, Иркутская обл, г. Нижнеудинск от пер.Уватского по ул.Гоголя</t>
  </si>
  <si>
    <t>1220</t>
  </si>
  <si>
    <t>38</t>
  </si>
  <si>
    <t>МО-3-0524-рс</t>
  </si>
  <si>
    <t>665106, Россия, Иркутская обл, г. Нижнеудинск от у.М.Горького по у.Кашика до у.Комсомольской</t>
  </si>
  <si>
    <t>630</t>
  </si>
  <si>
    <t>2007</t>
  </si>
  <si>
    <t>39</t>
  </si>
  <si>
    <t>МО-3-0526-рс</t>
  </si>
  <si>
    <t>665106, Россия, Иркутская обл, г. Нижнеудинск, ул. Энгельса</t>
  </si>
  <si>
    <t>2001</t>
  </si>
  <si>
    <t>40</t>
  </si>
  <si>
    <t>МО-3-0527-рс</t>
  </si>
  <si>
    <t>665106, Россия, Иркутская обл, г. Нижнеудинск от у.Комсомольской по у.Октябрьская до у.Ленина</t>
  </si>
  <si>
    <t>450</t>
  </si>
  <si>
    <t>41</t>
  </si>
  <si>
    <t>МО-3-0528-рс</t>
  </si>
  <si>
    <t>665106, Россия, Иркутская обл, г. Нижнеудинск от водозабора по ул.Байкальская</t>
  </si>
  <si>
    <t>720</t>
  </si>
  <si>
    <t>2009</t>
  </si>
  <si>
    <t>42</t>
  </si>
  <si>
    <t>МО-3-0529-рс</t>
  </si>
  <si>
    <t>665106, Россия, Иркутская обл, г. Нижнеудинск от у.Октябрьская по у.Комсомольская до у.Гоголя</t>
  </si>
  <si>
    <t>380</t>
  </si>
  <si>
    <t>43</t>
  </si>
  <si>
    <t>МО-3-0530-рс</t>
  </si>
  <si>
    <t>665106, Россия, Иркутская обл, г. Нижнеудинск от водозабора по ул.Победы</t>
  </si>
  <si>
    <t>650</t>
  </si>
  <si>
    <t>1981</t>
  </si>
  <si>
    <t>44</t>
  </si>
  <si>
    <t>МО-3-0531-рс</t>
  </si>
  <si>
    <t>665106, Россия, Иркутская обл, г. Нижнеудинск от водозабора по ул.Димитрова</t>
  </si>
  <si>
    <t>510</t>
  </si>
  <si>
    <t>45</t>
  </si>
  <si>
    <t>МО-3-0533-рс</t>
  </si>
  <si>
    <t>665106, Россия, Иркутская обл, г. Нижнеудинск от ул.Фабричная,17 до ул.Байкальская,33</t>
  </si>
  <si>
    <t>46</t>
  </si>
  <si>
    <t>МО-3-0534-рс</t>
  </si>
  <si>
    <t>665106, Россия, Иркутская обл, г. Нижнеудинск от станции насосной береговой первого подъема (п.Победы 3А). . .</t>
  </si>
  <si>
    <t>2155</t>
  </si>
  <si>
    <t>47</t>
  </si>
  <si>
    <t>МО-3-0535-рс</t>
  </si>
  <si>
    <t>665106, Россия, Иркутская обл, г. Нижнеудинск от ул.Кашика,102 до ул.Островского,1</t>
  </si>
  <si>
    <t>2004</t>
  </si>
  <si>
    <t>48</t>
  </si>
  <si>
    <t>МО-3-0536-рс</t>
  </si>
  <si>
    <t>665106, Россия, Иркутская обл, г. Нижнеудинск от котельной химлесхоза по у.Дорожная,Менделеева,Хвойная,Снежная</t>
  </si>
  <si>
    <t>49</t>
  </si>
  <si>
    <t>МО-3-0540-рс</t>
  </si>
  <si>
    <t>2005</t>
  </si>
  <si>
    <t>МО-3-0543-рс</t>
  </si>
  <si>
    <t>665106, Россия, Иркутская обл, г. Нижнеудинск ул.Маяковского,Льва Толстого,у.Полевая</t>
  </si>
  <si>
    <t>51</t>
  </si>
  <si>
    <t>МО-3-0548-рс</t>
  </si>
  <si>
    <t>665106, Россия, Иркутская обл, г. Нижнеудинск пер. Парковый</t>
  </si>
  <si>
    <t>130</t>
  </si>
  <si>
    <t>52</t>
  </si>
  <si>
    <t>МО-3-0551-рс</t>
  </si>
  <si>
    <t>665106, Россия, Иркутская обл, г. Нижнеудинск от насосной станции у.Экспериментальная,35 до у.Индустриальная..</t>
  </si>
  <si>
    <t>1960</t>
  </si>
  <si>
    <t>1987</t>
  </si>
  <si>
    <t>53</t>
  </si>
  <si>
    <t xml:space="preserve">Водоразборная колонка </t>
  </si>
  <si>
    <t>665106, Россия, Иркутская обл, г. Нижнеудинск Безымянная, д.6/26</t>
  </si>
  <si>
    <t>54</t>
  </si>
  <si>
    <t>Водоразборная колонка</t>
  </si>
  <si>
    <t>665101, Россия, Иркутская обл, г. Нижнеудинск, ул. 6 Пятилетки, д.14/22</t>
  </si>
  <si>
    <t>55</t>
  </si>
  <si>
    <t>665101, Россия, Иркутская обл, г. Нижнеудинск, ул. 6 Пятилетки, д.2/21</t>
  </si>
  <si>
    <t>56</t>
  </si>
  <si>
    <t>665101, Россия, Иркутская обл, г. Нижнеудинск, ул. 6 Пятилетки, д.34/23</t>
  </si>
  <si>
    <t>57</t>
  </si>
  <si>
    <t>665101, Россия, Иркутская обл, г. Нижнеудинск, ул. 6 Пятилетки, д.64/24</t>
  </si>
  <si>
    <t>58</t>
  </si>
  <si>
    <t>665101, Россия, Иркутская обл, г. Нижнеудинск, ул. Петина, д.1/30</t>
  </si>
  <si>
    <t>59</t>
  </si>
  <si>
    <t>665101, Россия, Иркутская обл, г. Нижнеудинск, ул. Профсоюзная, д.133/15</t>
  </si>
  <si>
    <t>60</t>
  </si>
  <si>
    <t>665101, Россия, Иркутская обл, г. Нижнеудинск, ул. Профсоюзная, д.19/14</t>
  </si>
  <si>
    <t>61</t>
  </si>
  <si>
    <t>665101, Россия, Иркутская обл, г. Нижнеудинск, ул. Профсоюзная, д.3/27</t>
  </si>
  <si>
    <t>62</t>
  </si>
  <si>
    <t>665101, Россия, Иркутская обл, г. Нижнеудинск, ул. Степная, д.9/25</t>
  </si>
  <si>
    <t>63</t>
  </si>
  <si>
    <t>665101, Россия, Иркутская обл, г. Нижнеудинск, ул. Чапаева, д.90/13</t>
  </si>
  <si>
    <t>64</t>
  </si>
  <si>
    <t>665101, Россия, Иркутская обл, г. Нижнеудинск, ул. Южная, д.100/16</t>
  </si>
  <si>
    <t>65</t>
  </si>
  <si>
    <t>665101, Россия, Иркутская обл, г. Нижнеудинск, ул. Южная, д.28/20</t>
  </si>
  <si>
    <t>66</t>
  </si>
  <si>
    <t>665101, Россия, Иркутская обл, г. Нижнеудинск, ул. Южная, д.56/19</t>
  </si>
  <si>
    <t>67</t>
  </si>
  <si>
    <t>665101, Россия, Иркутская обл, г. Нижнеудинск, ул. Южная, д.71/18</t>
  </si>
  <si>
    <t>68</t>
  </si>
  <si>
    <t>665101, Россия, Иркутская обл, г. Нижнеудинск, ул. Южная, д.90/17</t>
  </si>
  <si>
    <t>69</t>
  </si>
  <si>
    <t>665103, Россия, Иркутская обл, г. Нижнеудинск, ул. Победы, д.5/3</t>
  </si>
  <si>
    <t>70</t>
  </si>
  <si>
    <t>665103, Россия, Иркутская обл, г. Нижнеудинск, ул. Пролетарская 4-я, д.7/9</t>
  </si>
  <si>
    <t>71</t>
  </si>
  <si>
    <t>665104, Россия, Иркутская обл, г. Нижнеудинск, ул. Знаменская 2-я, д.10/11</t>
  </si>
  <si>
    <t>72</t>
  </si>
  <si>
    <t>665104, Россия, Иркутская обл, г. Нижнеудинск, ул. Знаменская 2-я, д.2/12</t>
  </si>
  <si>
    <t>73</t>
  </si>
  <si>
    <t>665106, Россия, Иркутская обл, г. Нижнеудинск пер. Путейский</t>
  </si>
  <si>
    <t>74</t>
  </si>
  <si>
    <t>665106, Россия, Иркутская обл, г. Нижнеудинск, ул. Аллейная, д.53/28</t>
  </si>
  <si>
    <t>75</t>
  </si>
  <si>
    <t>665106, Россия, Иркутская обл, г. Нижнеудинск, ул. Водопроводная, д.4/4</t>
  </si>
  <si>
    <t>76</t>
  </si>
  <si>
    <t>665106, Россия, Иркутская обл, г. Нижнеудинск, ул. Гоголя, д.1/10</t>
  </si>
  <si>
    <t>77</t>
  </si>
  <si>
    <t>665106, Россия, Иркутская обл, г. Нижнеудинск, ул. Димитрова, д.33/2</t>
  </si>
  <si>
    <t>78</t>
  </si>
  <si>
    <t>665106, Россия, Иркутская обл, г. Нижнеудинск, ул. п, д.1/8</t>
  </si>
  <si>
    <t>79</t>
  </si>
  <si>
    <t>665106, Россия, Иркутская обл, г. Нижнеудинск, ул. п, д.111/5</t>
  </si>
  <si>
    <t>80</t>
  </si>
  <si>
    <t>665106, Россия, Иркутская обл, г. Нижнеудинск, ул. п, д.36/7</t>
  </si>
  <si>
    <t>81</t>
  </si>
  <si>
    <t>665106, Россия, Иркутская обл, г. Нижнеудинск, ул. п, д.44/6</t>
  </si>
  <si>
    <t>82</t>
  </si>
  <si>
    <t>665106, Россия, Иркутская обл, г. Нижнеудинск, ул. Фабричная, д.16/1</t>
  </si>
  <si>
    <t>83</t>
  </si>
  <si>
    <t>Вспомогательное помещение</t>
  </si>
  <si>
    <t>МО-3-0488-рс</t>
  </si>
  <si>
    <t>665106, Россия, Иркутская обл, г. Нижнеудинск район котельной Слюдфабрики</t>
  </si>
  <si>
    <t>1963</t>
  </si>
  <si>
    <t>84</t>
  </si>
  <si>
    <t xml:space="preserve">Насосная станция второго подъема </t>
  </si>
  <si>
    <t>МО-3-0496-рс</t>
  </si>
  <si>
    <t>85</t>
  </si>
  <si>
    <t>Насосная станция</t>
  </si>
  <si>
    <t>МО-3-0478-рс</t>
  </si>
  <si>
    <t>665106, Россия, Иркутская обл, г. Нижнеудинск, ул. Пушкина, д.35</t>
  </si>
  <si>
    <t>86</t>
  </si>
  <si>
    <t>Ограждение забор</t>
  </si>
  <si>
    <t>665106, Россия, Иркутская обл, г. Нижнеудинск Экспериментальная, 35</t>
  </si>
  <si>
    <t>2006</t>
  </si>
  <si>
    <t>87</t>
  </si>
  <si>
    <t>Ограждение</t>
  </si>
  <si>
    <t>МО-3-0480-рс</t>
  </si>
  <si>
    <t>665106, Россия, Иркутская обл, г. Нижнеудинск ул. Экспериментальная 35А</t>
  </si>
  <si>
    <t>1998</t>
  </si>
  <si>
    <t>88</t>
  </si>
  <si>
    <t>Подземный водозабор</t>
  </si>
  <si>
    <t>МО-3-0481-рс</t>
  </si>
  <si>
    <t>10900</t>
  </si>
  <si>
    <t>89</t>
  </si>
  <si>
    <t>Резервуар для воды (560м3)</t>
  </si>
  <si>
    <t>МО-3-0489-рс</t>
  </si>
  <si>
    <t>665106, Россия, Иркутская обл, г. Нижнеудинск на артезианской скважине п.Свердловский</t>
  </si>
  <si>
    <t>2002</t>
  </si>
  <si>
    <t>90</t>
  </si>
  <si>
    <t>Сети водоснабжения</t>
  </si>
  <si>
    <t>МО-3-0555-рс</t>
  </si>
  <si>
    <t>665106, Россия, Иркутская обл, г. Нижнеудинск от ул. Дорожная 3а до ул. Просвещения 49</t>
  </si>
  <si>
    <t>91</t>
  </si>
  <si>
    <t>МО-3-0556-рс</t>
  </si>
  <si>
    <t>665106, Россия, Иркутская обл, г. Нижнеудинск Российская,Лазурная, Цветочная, Кедровая, Олимпийская,Магистраль</t>
  </si>
  <si>
    <t>1994</t>
  </si>
  <si>
    <t>92</t>
  </si>
  <si>
    <t xml:space="preserve">Скважина артезианская </t>
  </si>
  <si>
    <t>МО-3-0492-рс</t>
  </si>
  <si>
    <t>665106, Россия, Иркутская обл, г. Нижнеудинск пер. Победы 3А (городской водозабор)</t>
  </si>
  <si>
    <t>93</t>
  </si>
  <si>
    <t>Скважина артезианская</t>
  </si>
  <si>
    <t>МО-3-0490-рс</t>
  </si>
  <si>
    <t>665106, Россия, Иркутская обл, г. Нижнеудинск Свердловский микрорайон</t>
  </si>
  <si>
    <t>120</t>
  </si>
  <si>
    <t>94</t>
  </si>
  <si>
    <t>Скважина</t>
  </si>
  <si>
    <t>МО-3-0541-рс</t>
  </si>
  <si>
    <t>665106, Россия, Иркутская обл, г. Нижнеудинск в районе электрокотельной по ул. Транспортная №69В</t>
  </si>
  <si>
    <t>95</t>
  </si>
  <si>
    <t>МО-3-0546-рс</t>
  </si>
  <si>
    <t>665106, Россия, Иркутская обл, г. Нижнеудинск ул. Молодости, д.7</t>
  </si>
  <si>
    <t>96</t>
  </si>
  <si>
    <t>МО-3-0547-рс</t>
  </si>
  <si>
    <t>665106, Россия, Иркутская обл, г. Нижнеудинск, ул. Пушкина, д.35а</t>
  </si>
  <si>
    <t>97</t>
  </si>
  <si>
    <t>МО-3-0549-рс</t>
  </si>
  <si>
    <t>665106, Россия, Иркутская обл, г. Нижнеудинск пер.Колхозный</t>
  </si>
  <si>
    <t>98</t>
  </si>
  <si>
    <t>МО-3-0550-рс</t>
  </si>
  <si>
    <t>665106, Россия, Иркутская обл, г. Нижнеудинск ул.Ленина, д.49</t>
  </si>
  <si>
    <t>99</t>
  </si>
  <si>
    <t>Участок электроснабжения электрокотельной по ул. Транспортная 69В, включая ВЛ-0,4кВ</t>
  </si>
  <si>
    <t>МО-3-0613-1-рс</t>
  </si>
  <si>
    <t>665101, Россия, Иркутская обл, г. Нижнеудинск в районе электрокотельной по ул. Транспортная №69В</t>
  </si>
  <si>
    <t>38044</t>
  </si>
  <si>
    <t xml:space="preserve">Движимое имущество (машины, оборудование) </t>
  </si>
  <si>
    <t>Миноискатель</t>
  </si>
  <si>
    <t>Водоснабжение, подъем воды</t>
  </si>
  <si>
    <t>Насос Д320-50</t>
  </si>
  <si>
    <t>Насос 320-50</t>
  </si>
  <si>
    <t>Насос К 100-65-200</t>
  </si>
  <si>
    <t>Насос К 80-50-200 с э/дв.</t>
  </si>
  <si>
    <t>Насос ЭЦВ 8-25-100</t>
  </si>
  <si>
    <t>Трансформатор сварочный ТДМ-401</t>
  </si>
  <si>
    <t>Металлоискатель</t>
  </si>
  <si>
    <t>уч-к водоснабж.</t>
  </si>
  <si>
    <t>таль электрическая</t>
  </si>
  <si>
    <t>Выключатель автоматич.ВА 55-411000А</t>
  </si>
  <si>
    <t>тр.водозабор</t>
  </si>
  <si>
    <t xml:space="preserve">Выключатель автоматич.ВА 53-43 1600А </t>
  </si>
  <si>
    <t>Насос Д-320-50 с эл.дв.55/15600</t>
  </si>
  <si>
    <t>Насос ЭЦВ 8-25-125</t>
  </si>
  <si>
    <t>Насос ЦМ 400*105 с эл.дв.200/1500</t>
  </si>
  <si>
    <t>трансп. Водозабор</t>
  </si>
  <si>
    <t>Итого:</t>
  </si>
  <si>
    <t>ВСЕГО:</t>
  </si>
  <si>
    <t>от "______"_______________ 2013г. № ____________</t>
  </si>
  <si>
    <t>Перечень  имущества муниципальной собственностиНижнеудинского муниципального образования, передаваемого в аренду для осуществления деятельности по водоснабжению.</t>
  </si>
  <si>
    <t xml:space="preserve"> Подписи Сторон:</t>
  </si>
  <si>
    <t xml:space="preserve">АРЕНДОДАТЕЛЬ:                                                          </t>
  </si>
  <si>
    <t>АРЕНДАТОР:</t>
  </si>
  <si>
    <t xml:space="preserve">Комитет по управлению имуществом                   </t>
  </si>
  <si>
    <t>__________________________________________</t>
  </si>
  <si>
    <t xml:space="preserve">Администрации Нижнеудинского </t>
  </si>
  <si>
    <t xml:space="preserve">муниципального образования                     </t>
  </si>
  <si>
    <t xml:space="preserve">____________________________ О.В.Слеменева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</si>
</sst>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sz val="6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0" fontId="4" fillId="33" borderId="12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4" fontId="4" fillId="33" borderId="12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Border="1" applyAlignment="1">
      <alignment/>
    </xf>
    <xf numFmtId="0" fontId="7" fillId="33" borderId="15" xfId="0" applyNumberFormat="1" applyFont="1" applyFill="1" applyBorder="1" applyAlignment="1">
      <alignment horizontal="right" vertical="top" wrapText="1"/>
    </xf>
    <xf numFmtId="4" fontId="7" fillId="33" borderId="15" xfId="0" applyNumberFormat="1" applyFont="1" applyFill="1" applyBorder="1" applyAlignment="1">
      <alignment horizontal="right" vertical="top" wrapText="1"/>
    </xf>
    <xf numFmtId="4" fontId="7" fillId="33" borderId="16" xfId="0" applyNumberFormat="1" applyFont="1" applyFill="1" applyBorder="1" applyAlignment="1">
      <alignment horizontal="right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33" borderId="18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center" vertical="top" wrapText="1"/>
    </xf>
    <xf numFmtId="0" fontId="10" fillId="33" borderId="19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right" vertical="top" wrapText="1"/>
    </xf>
    <xf numFmtId="4" fontId="10" fillId="33" borderId="11" xfId="0" applyNumberFormat="1" applyFont="1" applyFill="1" applyBorder="1" applyAlignment="1">
      <alignment horizontal="right" vertical="top" wrapText="1"/>
    </xf>
    <xf numFmtId="4" fontId="10" fillId="33" borderId="12" xfId="0" applyNumberFormat="1" applyFont="1" applyFill="1" applyBorder="1" applyAlignment="1">
      <alignment horizontal="right" vertical="top" wrapText="1"/>
    </xf>
    <xf numFmtId="0" fontId="10" fillId="33" borderId="2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33" borderId="20" xfId="0" applyNumberFormat="1" applyFont="1" applyFill="1" applyBorder="1" applyAlignment="1">
      <alignment horizontal="left" vertical="top" wrapText="1"/>
    </xf>
    <xf numFmtId="0" fontId="10" fillId="33" borderId="12" xfId="0" applyNumberFormat="1" applyFont="1" applyFill="1" applyBorder="1" applyAlignment="1">
      <alignment horizontal="right" vertical="top" wrapText="1"/>
    </xf>
    <xf numFmtId="0" fontId="10" fillId="33" borderId="18" xfId="0" applyNumberFormat="1" applyFont="1" applyFill="1" applyBorder="1" applyAlignment="1">
      <alignment horizontal="left" vertical="top" wrapText="1"/>
    </xf>
    <xf numFmtId="0" fontId="7" fillId="33" borderId="2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3" fontId="8" fillId="0" borderId="10" xfId="59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4" fontId="12" fillId="0" borderId="22" xfId="0" applyNumberFormat="1" applyFont="1" applyBorder="1" applyAlignment="1">
      <alignment vertical="top" wrapText="1"/>
    </xf>
    <xf numFmtId="0" fontId="12" fillId="0" borderId="22" xfId="0" applyNumberFormat="1" applyFont="1" applyBorder="1" applyAlignment="1">
      <alignment vertical="top" wrapText="1"/>
    </xf>
    <xf numFmtId="43" fontId="5" fillId="0" borderId="10" xfId="59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10" xfId="52" applyFont="1" applyFill="1" applyBorder="1" applyAlignment="1">
      <alignment vertical="top" wrapText="1"/>
      <protection/>
    </xf>
    <xf numFmtId="0" fontId="12" fillId="0" borderId="22" xfId="52" applyNumberFormat="1" applyFont="1" applyFill="1" applyBorder="1" applyAlignment="1">
      <alignment vertical="top" wrapText="1"/>
      <protection/>
    </xf>
    <xf numFmtId="0" fontId="12" fillId="0" borderId="22" xfId="52" applyFont="1" applyFill="1" applyBorder="1" applyAlignment="1">
      <alignment vertical="top" wrapText="1"/>
      <protection/>
    </xf>
    <xf numFmtId="0" fontId="11" fillId="0" borderId="23" xfId="0" applyFont="1" applyBorder="1" applyAlignment="1">
      <alignment vertical="top" wrapText="1"/>
    </xf>
    <xf numFmtId="0" fontId="11" fillId="0" borderId="24" xfId="52" applyFont="1" applyFill="1" applyBorder="1" applyAlignment="1">
      <alignment vertical="top" wrapText="1"/>
      <protection/>
    </xf>
    <xf numFmtId="0" fontId="11" fillId="0" borderId="24" xfId="0" applyFont="1" applyBorder="1" applyAlignment="1">
      <alignment vertical="top" wrapText="1"/>
    </xf>
    <xf numFmtId="4" fontId="11" fillId="0" borderId="24" xfId="0" applyNumberFormat="1" applyFont="1" applyBorder="1" applyAlignment="1">
      <alignment vertical="top" wrapText="1"/>
    </xf>
    <xf numFmtId="4" fontId="11" fillId="0" borderId="25" xfId="0" applyNumberFormat="1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33" borderId="2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tabSelected="1" zoomScalePageLayoutView="0" workbookViewId="0" topLeftCell="A1">
      <selection activeCell="D144" sqref="D144"/>
    </sheetView>
  </sheetViews>
  <sheetFormatPr defaultColWidth="9.140625" defaultRowHeight="15"/>
  <cols>
    <col min="1" max="1" width="5.140625" style="0" customWidth="1"/>
    <col min="2" max="2" width="26.140625" style="0" customWidth="1"/>
    <col min="4" max="4" width="37.421875" style="0" customWidth="1"/>
    <col min="5" max="5" width="8.00390625" style="0" customWidth="1"/>
    <col min="6" max="6" width="15.421875" style="0" customWidth="1"/>
    <col min="7" max="7" width="12.421875" style="0" customWidth="1"/>
    <col min="8" max="8" width="8.28125" style="0" customWidth="1"/>
    <col min="9" max="9" width="9.7109375" style="63" customWidth="1"/>
  </cols>
  <sheetData>
    <row r="1" spans="7:9" s="1" customFormat="1" ht="12.75">
      <c r="G1" s="67" t="s">
        <v>0</v>
      </c>
      <c r="H1" s="67"/>
      <c r="I1" s="2"/>
    </row>
    <row r="2" spans="5:9" ht="15">
      <c r="E2" s="68" t="s">
        <v>1</v>
      </c>
      <c r="F2" s="68"/>
      <c r="G2" s="68"/>
      <c r="H2" s="68"/>
      <c r="I2" s="68"/>
    </row>
    <row r="3" spans="5:9" ht="15">
      <c r="E3" s="68" t="s">
        <v>2</v>
      </c>
      <c r="F3" s="68"/>
      <c r="G3" s="68"/>
      <c r="H3" s="68"/>
      <c r="I3" s="68"/>
    </row>
    <row r="4" spans="5:9" ht="15">
      <c r="E4" s="69" t="s">
        <v>3</v>
      </c>
      <c r="F4" s="68"/>
      <c r="G4" s="68"/>
      <c r="H4" s="68"/>
      <c r="I4" s="68"/>
    </row>
    <row r="5" spans="5:9" ht="15">
      <c r="E5" s="69" t="s">
        <v>407</v>
      </c>
      <c r="F5" s="69"/>
      <c r="G5" s="69"/>
      <c r="H5" s="69"/>
      <c r="I5" s="69"/>
    </row>
    <row r="6" spans="5:9" ht="10.5" customHeight="1">
      <c r="E6" s="3"/>
      <c r="F6" s="3"/>
      <c r="G6" s="3"/>
      <c r="H6" s="3"/>
      <c r="I6" s="3"/>
    </row>
    <row r="7" spans="1:9" ht="37.5" customHeight="1" thickBot="1">
      <c r="A7" s="65" t="s">
        <v>408</v>
      </c>
      <c r="B7" s="65"/>
      <c r="C7" s="65"/>
      <c r="D7" s="65"/>
      <c r="E7" s="65"/>
      <c r="F7" s="65"/>
      <c r="G7" s="65"/>
      <c r="H7" s="65"/>
      <c r="I7" s="65"/>
    </row>
    <row r="8" spans="1:9" ht="15.75" thickBot="1">
      <c r="A8" s="70" t="s">
        <v>4</v>
      </c>
      <c r="B8" s="70" t="s">
        <v>5</v>
      </c>
      <c r="C8" s="70" t="s">
        <v>6</v>
      </c>
      <c r="D8" s="70" t="s">
        <v>7</v>
      </c>
      <c r="E8" s="70" t="s">
        <v>8</v>
      </c>
      <c r="F8" s="70" t="s">
        <v>9</v>
      </c>
      <c r="G8" s="70"/>
      <c r="H8" s="70" t="s">
        <v>10</v>
      </c>
      <c r="I8" s="4"/>
    </row>
    <row r="9" spans="1:9" ht="31.5">
      <c r="A9" s="70"/>
      <c r="B9" s="70"/>
      <c r="C9" s="70"/>
      <c r="D9" s="70"/>
      <c r="E9" s="70"/>
      <c r="F9" s="5" t="s">
        <v>11</v>
      </c>
      <c r="G9" s="6" t="s">
        <v>12</v>
      </c>
      <c r="H9" s="70"/>
      <c r="I9" s="4" t="s">
        <v>13</v>
      </c>
    </row>
    <row r="10" spans="1:9" ht="15.75" thickBot="1">
      <c r="A10" s="7" t="s">
        <v>14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19</v>
      </c>
      <c r="G10" s="8" t="s">
        <v>20</v>
      </c>
      <c r="H10" s="7" t="s">
        <v>21</v>
      </c>
      <c r="I10" s="4"/>
    </row>
    <row r="11" spans="1:9" ht="21">
      <c r="A11" s="9" t="s">
        <v>14</v>
      </c>
      <c r="B11" s="10" t="s">
        <v>22</v>
      </c>
      <c r="C11" s="9" t="s">
        <v>23</v>
      </c>
      <c r="D11" s="10" t="s">
        <v>24</v>
      </c>
      <c r="E11" s="11">
        <v>174.1</v>
      </c>
      <c r="F11" s="12">
        <f>659756.67</f>
        <v>659756.67</v>
      </c>
      <c r="G11" s="13" t="s">
        <v>25</v>
      </c>
      <c r="H11" s="9" t="s">
        <v>26</v>
      </c>
      <c r="I11" s="14">
        <v>100</v>
      </c>
    </row>
    <row r="12" spans="1:9" ht="21">
      <c r="A12" s="9" t="s">
        <v>15</v>
      </c>
      <c r="B12" s="10" t="s">
        <v>27</v>
      </c>
      <c r="C12" s="9" t="s">
        <v>28</v>
      </c>
      <c r="D12" s="10" t="s">
        <v>29</v>
      </c>
      <c r="E12" s="11" t="s">
        <v>30</v>
      </c>
      <c r="F12" s="12">
        <f>188663.47</f>
        <v>188663.47</v>
      </c>
      <c r="G12" s="15">
        <f>177343.67</f>
        <v>177343.67</v>
      </c>
      <c r="H12" s="9" t="s">
        <v>31</v>
      </c>
      <c r="I12" s="16">
        <f>SUM(100-G12*100/F12)</f>
        <v>5.999995653636603</v>
      </c>
    </row>
    <row r="13" spans="1:9" ht="21.75" thickBot="1">
      <c r="A13" s="9" t="s">
        <v>16</v>
      </c>
      <c r="B13" s="10" t="s">
        <v>32</v>
      </c>
      <c r="C13" s="9" t="s">
        <v>33</v>
      </c>
      <c r="D13" s="10" t="s">
        <v>34</v>
      </c>
      <c r="E13" s="11" t="s">
        <v>35</v>
      </c>
      <c r="F13" s="12">
        <f>1635633.71</f>
        <v>1635633.71</v>
      </c>
      <c r="G13" s="13" t="s">
        <v>25</v>
      </c>
      <c r="H13" s="9" t="s">
        <v>36</v>
      </c>
      <c r="I13" s="14">
        <v>100</v>
      </c>
    </row>
    <row r="14" spans="1:9" s="22" customFormat="1" ht="13.5" thickBot="1">
      <c r="A14" s="71" t="s">
        <v>37</v>
      </c>
      <c r="B14" s="71"/>
      <c r="C14" s="71"/>
      <c r="D14" s="71"/>
      <c r="E14" s="17" t="s">
        <v>38</v>
      </c>
      <c r="F14" s="18">
        <f>2484053.85</f>
        <v>2484053.85</v>
      </c>
      <c r="G14" s="19">
        <f>177343.67</f>
        <v>177343.67</v>
      </c>
      <c r="H14" s="20" t="s">
        <v>39</v>
      </c>
      <c r="I14" s="21"/>
    </row>
    <row r="15" spans="1:9" s="23" customFormat="1" ht="13.5" thickBot="1">
      <c r="A15" s="70" t="s">
        <v>4</v>
      </c>
      <c r="B15" s="70" t="s">
        <v>5</v>
      </c>
      <c r="C15" s="70" t="s">
        <v>6</v>
      </c>
      <c r="D15" s="70" t="s">
        <v>7</v>
      </c>
      <c r="E15" s="70" t="s">
        <v>40</v>
      </c>
      <c r="F15" s="70" t="s">
        <v>9</v>
      </c>
      <c r="G15" s="70"/>
      <c r="H15" s="72" t="s">
        <v>41</v>
      </c>
      <c r="I15" s="14"/>
    </row>
    <row r="16" spans="1:9" s="23" customFormat="1" ht="31.5">
      <c r="A16" s="70"/>
      <c r="B16" s="70"/>
      <c r="C16" s="70"/>
      <c r="D16" s="70"/>
      <c r="E16" s="70"/>
      <c r="F16" s="5" t="s">
        <v>11</v>
      </c>
      <c r="G16" s="6" t="s">
        <v>12</v>
      </c>
      <c r="H16" s="72"/>
      <c r="I16" s="24" t="s">
        <v>13</v>
      </c>
    </row>
    <row r="17" spans="1:9" ht="15.75" thickBot="1">
      <c r="A17" s="7" t="s">
        <v>14</v>
      </c>
      <c r="B17" s="25" t="s">
        <v>15</v>
      </c>
      <c r="C17" s="7" t="s">
        <v>16</v>
      </c>
      <c r="D17" s="7" t="s">
        <v>17</v>
      </c>
      <c r="E17" s="7" t="s">
        <v>18</v>
      </c>
      <c r="F17" s="7" t="s">
        <v>19</v>
      </c>
      <c r="G17" s="8" t="s">
        <v>20</v>
      </c>
      <c r="H17" s="25" t="s">
        <v>21</v>
      </c>
      <c r="I17" s="14"/>
    </row>
    <row r="18" spans="1:9" s="34" customFormat="1" ht="21">
      <c r="A18" s="26" t="s">
        <v>14</v>
      </c>
      <c r="B18" s="27" t="s">
        <v>42</v>
      </c>
      <c r="C18" s="26" t="s">
        <v>43</v>
      </c>
      <c r="D18" s="28" t="s">
        <v>44</v>
      </c>
      <c r="E18" s="29" t="s">
        <v>25</v>
      </c>
      <c r="F18" s="30">
        <f>377824</f>
        <v>377824</v>
      </c>
      <c r="G18" s="31">
        <f>264476.79</f>
        <v>264476.79</v>
      </c>
      <c r="H18" s="32" t="s">
        <v>25</v>
      </c>
      <c r="I18" s="33">
        <f>SUM(100-G18*100/F18)</f>
        <v>30.000002646735</v>
      </c>
    </row>
    <row r="19" spans="1:9" s="34" customFormat="1" ht="21">
      <c r="A19" s="26" t="s">
        <v>15</v>
      </c>
      <c r="B19" s="35" t="s">
        <v>42</v>
      </c>
      <c r="C19" s="26" t="s">
        <v>45</v>
      </c>
      <c r="D19" s="28" t="s">
        <v>46</v>
      </c>
      <c r="E19" s="29" t="s">
        <v>25</v>
      </c>
      <c r="F19" s="30">
        <f>80098.09</f>
        <v>80098.09</v>
      </c>
      <c r="G19" s="36">
        <v>0</v>
      </c>
      <c r="H19" s="32" t="s">
        <v>47</v>
      </c>
      <c r="I19" s="33">
        <f aca="true" t="shared" si="0" ref="I19:I82">SUM(100-G19*100/F19)</f>
        <v>100</v>
      </c>
    </row>
    <row r="20" spans="1:9" s="34" customFormat="1" ht="21">
      <c r="A20" s="26" t="s">
        <v>16</v>
      </c>
      <c r="B20" s="35" t="s">
        <v>48</v>
      </c>
      <c r="C20" s="26" t="s">
        <v>49</v>
      </c>
      <c r="D20" s="28" t="s">
        <v>50</v>
      </c>
      <c r="E20" s="29" t="s">
        <v>51</v>
      </c>
      <c r="F20" s="30">
        <f>170039.28</f>
        <v>170039.28</v>
      </c>
      <c r="G20" s="31">
        <f>20403.62</f>
        <v>20403.62</v>
      </c>
      <c r="H20" s="32" t="s">
        <v>52</v>
      </c>
      <c r="I20" s="33">
        <f t="shared" si="0"/>
        <v>88.00064314551321</v>
      </c>
    </row>
    <row r="21" spans="1:9" s="34" customFormat="1" ht="21">
      <c r="A21" s="26" t="s">
        <v>17</v>
      </c>
      <c r="B21" s="35" t="s">
        <v>48</v>
      </c>
      <c r="C21" s="26" t="s">
        <v>53</v>
      </c>
      <c r="D21" s="28" t="s">
        <v>54</v>
      </c>
      <c r="E21" s="29" t="s">
        <v>25</v>
      </c>
      <c r="F21" s="30">
        <f>157644.19</f>
        <v>157644.19</v>
      </c>
      <c r="G21" s="36">
        <v>0</v>
      </c>
      <c r="H21" s="32" t="s">
        <v>47</v>
      </c>
      <c r="I21" s="33">
        <f t="shared" si="0"/>
        <v>100</v>
      </c>
    </row>
    <row r="22" spans="1:9" s="34" customFormat="1" ht="21">
      <c r="A22" s="26" t="s">
        <v>18</v>
      </c>
      <c r="B22" s="35" t="s">
        <v>55</v>
      </c>
      <c r="C22" s="26" t="s">
        <v>56</v>
      </c>
      <c r="D22" s="28" t="s">
        <v>57</v>
      </c>
      <c r="E22" s="29" t="s">
        <v>25</v>
      </c>
      <c r="F22" s="30">
        <f>673682.57</f>
        <v>673682.57</v>
      </c>
      <c r="G22" s="36">
        <v>0</v>
      </c>
      <c r="H22" s="32" t="s">
        <v>58</v>
      </c>
      <c r="I22" s="33">
        <f t="shared" si="0"/>
        <v>100</v>
      </c>
    </row>
    <row r="23" spans="1:9" s="34" customFormat="1" ht="21">
      <c r="A23" s="26" t="s">
        <v>19</v>
      </c>
      <c r="B23" s="35" t="s">
        <v>55</v>
      </c>
      <c r="C23" s="26" t="s">
        <v>59</v>
      </c>
      <c r="D23" s="28" t="s">
        <v>60</v>
      </c>
      <c r="E23" s="29" t="s">
        <v>61</v>
      </c>
      <c r="F23" s="30">
        <f>380674.88</f>
        <v>380674.88</v>
      </c>
      <c r="G23" s="36">
        <v>0</v>
      </c>
      <c r="H23" s="32" t="s">
        <v>62</v>
      </c>
      <c r="I23" s="33">
        <f t="shared" si="0"/>
        <v>100</v>
      </c>
    </row>
    <row r="24" spans="1:9" s="34" customFormat="1" ht="21">
      <c r="A24" s="26" t="s">
        <v>20</v>
      </c>
      <c r="B24" s="35" t="s">
        <v>55</v>
      </c>
      <c r="C24" s="26" t="s">
        <v>63</v>
      </c>
      <c r="D24" s="28" t="s">
        <v>64</v>
      </c>
      <c r="E24" s="29" t="s">
        <v>25</v>
      </c>
      <c r="F24" s="30">
        <v>1</v>
      </c>
      <c r="G24" s="36">
        <v>0</v>
      </c>
      <c r="H24" s="32" t="s">
        <v>65</v>
      </c>
      <c r="I24" s="33">
        <f t="shared" si="0"/>
        <v>100</v>
      </c>
    </row>
    <row r="25" spans="1:9" s="34" customFormat="1" ht="21">
      <c r="A25" s="26" t="s">
        <v>21</v>
      </c>
      <c r="B25" s="35" t="s">
        <v>55</v>
      </c>
      <c r="C25" s="26" t="s">
        <v>66</v>
      </c>
      <c r="D25" s="28" t="s">
        <v>67</v>
      </c>
      <c r="E25" s="29" t="s">
        <v>25</v>
      </c>
      <c r="F25" s="30">
        <f>585405.38</f>
        <v>585405.38</v>
      </c>
      <c r="G25" s="36">
        <v>0</v>
      </c>
      <c r="H25" s="32" t="s">
        <v>68</v>
      </c>
      <c r="I25" s="33">
        <f t="shared" si="0"/>
        <v>100</v>
      </c>
    </row>
    <row r="26" spans="1:9" s="34" customFormat="1" ht="21">
      <c r="A26" s="26" t="s">
        <v>69</v>
      </c>
      <c r="B26" s="35" t="s">
        <v>70</v>
      </c>
      <c r="C26" s="26" t="s">
        <v>71</v>
      </c>
      <c r="D26" s="28" t="s">
        <v>72</v>
      </c>
      <c r="E26" s="29" t="s">
        <v>25</v>
      </c>
      <c r="F26" s="30">
        <f>522366.24</f>
        <v>522366.24</v>
      </c>
      <c r="G26" s="36">
        <v>0</v>
      </c>
      <c r="H26" s="32" t="s">
        <v>58</v>
      </c>
      <c r="I26" s="33">
        <f t="shared" si="0"/>
        <v>100</v>
      </c>
    </row>
    <row r="27" spans="1:9" s="34" customFormat="1" ht="21">
      <c r="A27" s="26" t="s">
        <v>73</v>
      </c>
      <c r="B27" s="35" t="s">
        <v>74</v>
      </c>
      <c r="C27" s="26" t="s">
        <v>75</v>
      </c>
      <c r="D27" s="28" t="s">
        <v>76</v>
      </c>
      <c r="E27" s="29" t="s">
        <v>25</v>
      </c>
      <c r="F27" s="30">
        <f>3353.1</f>
        <v>3353.1</v>
      </c>
      <c r="G27" s="31">
        <f>3085</f>
        <v>3085</v>
      </c>
      <c r="H27" s="32" t="s">
        <v>77</v>
      </c>
      <c r="I27" s="33">
        <f t="shared" si="0"/>
        <v>7.995586173988244</v>
      </c>
    </row>
    <row r="28" spans="1:9" s="34" customFormat="1" ht="31.5">
      <c r="A28" s="26" t="s">
        <v>78</v>
      </c>
      <c r="B28" s="35" t="s">
        <v>79</v>
      </c>
      <c r="C28" s="26" t="s">
        <v>80</v>
      </c>
      <c r="D28" s="28" t="s">
        <v>81</v>
      </c>
      <c r="E28" s="29" t="s">
        <v>82</v>
      </c>
      <c r="F28" s="30">
        <f>968240</f>
        <v>968240</v>
      </c>
      <c r="G28" s="36">
        <v>170240</v>
      </c>
      <c r="H28" s="32" t="s">
        <v>83</v>
      </c>
      <c r="I28" s="33">
        <f t="shared" si="0"/>
        <v>82.41758241758242</v>
      </c>
    </row>
    <row r="29" spans="1:9" s="34" customFormat="1" ht="21">
      <c r="A29" s="26" t="s">
        <v>84</v>
      </c>
      <c r="B29" s="35" t="s">
        <v>85</v>
      </c>
      <c r="C29" s="26" t="s">
        <v>86</v>
      </c>
      <c r="D29" s="28" t="s">
        <v>87</v>
      </c>
      <c r="E29" s="29" t="s">
        <v>88</v>
      </c>
      <c r="F29" s="30">
        <f>646000</f>
        <v>646000</v>
      </c>
      <c r="G29" s="36">
        <v>0</v>
      </c>
      <c r="H29" s="32" t="s">
        <v>89</v>
      </c>
      <c r="I29" s="33">
        <f t="shared" si="0"/>
        <v>100</v>
      </c>
    </row>
    <row r="30" spans="1:9" s="34" customFormat="1" ht="31.5">
      <c r="A30" s="26" t="s">
        <v>90</v>
      </c>
      <c r="B30" s="35" t="s">
        <v>91</v>
      </c>
      <c r="C30" s="26" t="s">
        <v>92</v>
      </c>
      <c r="D30" s="28" t="s">
        <v>93</v>
      </c>
      <c r="E30" s="29" t="s">
        <v>94</v>
      </c>
      <c r="F30" s="30">
        <f>178500</f>
        <v>178500</v>
      </c>
      <c r="G30" s="36">
        <v>0</v>
      </c>
      <c r="H30" s="32" t="s">
        <v>95</v>
      </c>
      <c r="I30" s="33">
        <f t="shared" si="0"/>
        <v>100</v>
      </c>
    </row>
    <row r="31" spans="1:9" s="34" customFormat="1" ht="21">
      <c r="A31" s="26" t="s">
        <v>96</v>
      </c>
      <c r="B31" s="35" t="s">
        <v>97</v>
      </c>
      <c r="C31" s="26" t="s">
        <v>98</v>
      </c>
      <c r="D31" s="28" t="s">
        <v>99</v>
      </c>
      <c r="E31" s="29" t="s">
        <v>100</v>
      </c>
      <c r="F31" s="30">
        <f>692750</f>
        <v>692750</v>
      </c>
      <c r="G31" s="36">
        <v>0</v>
      </c>
      <c r="H31" s="32">
        <v>1976</v>
      </c>
      <c r="I31" s="33">
        <f t="shared" si="0"/>
        <v>100</v>
      </c>
    </row>
    <row r="32" spans="1:9" s="34" customFormat="1" ht="31.5">
      <c r="A32" s="26" t="s">
        <v>30</v>
      </c>
      <c r="B32" s="35" t="s">
        <v>97</v>
      </c>
      <c r="C32" s="26" t="s">
        <v>101</v>
      </c>
      <c r="D32" s="28" t="s">
        <v>102</v>
      </c>
      <c r="E32" s="29" t="s">
        <v>103</v>
      </c>
      <c r="F32" s="30">
        <f>276250</f>
        <v>276250</v>
      </c>
      <c r="G32" s="36">
        <v>0</v>
      </c>
      <c r="H32" s="32" t="s">
        <v>77</v>
      </c>
      <c r="I32" s="33">
        <f t="shared" si="0"/>
        <v>100</v>
      </c>
    </row>
    <row r="33" spans="1:9" s="34" customFormat="1" ht="31.5">
      <c r="A33" s="26" t="s">
        <v>51</v>
      </c>
      <c r="B33" s="35" t="s">
        <v>97</v>
      </c>
      <c r="C33" s="26" t="s">
        <v>104</v>
      </c>
      <c r="D33" s="28" t="s">
        <v>105</v>
      </c>
      <c r="E33" s="29" t="s">
        <v>106</v>
      </c>
      <c r="F33" s="30">
        <f>212500</f>
        <v>212500</v>
      </c>
      <c r="G33" s="36">
        <v>0</v>
      </c>
      <c r="H33" s="32" t="s">
        <v>107</v>
      </c>
      <c r="I33" s="33">
        <f t="shared" si="0"/>
        <v>100</v>
      </c>
    </row>
    <row r="34" spans="1:9" s="34" customFormat="1" ht="31.5">
      <c r="A34" s="26" t="s">
        <v>108</v>
      </c>
      <c r="B34" s="35" t="s">
        <v>97</v>
      </c>
      <c r="C34" s="26" t="s">
        <v>109</v>
      </c>
      <c r="D34" s="28" t="s">
        <v>110</v>
      </c>
      <c r="E34" s="29" t="s">
        <v>111</v>
      </c>
      <c r="F34" s="30">
        <f>2635000</f>
        <v>2635000</v>
      </c>
      <c r="G34" s="36">
        <v>0</v>
      </c>
      <c r="H34" s="32">
        <v>1978</v>
      </c>
      <c r="I34" s="33">
        <f t="shared" si="0"/>
        <v>100</v>
      </c>
    </row>
    <row r="35" spans="1:9" s="34" customFormat="1" ht="31.5">
      <c r="A35" s="26" t="s">
        <v>112</v>
      </c>
      <c r="B35" s="35" t="s">
        <v>97</v>
      </c>
      <c r="C35" s="26" t="s">
        <v>113</v>
      </c>
      <c r="D35" s="28" t="s">
        <v>114</v>
      </c>
      <c r="E35" s="29" t="s">
        <v>115</v>
      </c>
      <c r="F35" s="30">
        <f>765000</f>
        <v>765000</v>
      </c>
      <c r="G35" s="36">
        <v>0</v>
      </c>
      <c r="H35" s="32" t="s">
        <v>65</v>
      </c>
      <c r="I35" s="33">
        <f t="shared" si="0"/>
        <v>100</v>
      </c>
    </row>
    <row r="36" spans="1:9" s="34" customFormat="1" ht="31.5">
      <c r="A36" s="26" t="s">
        <v>116</v>
      </c>
      <c r="B36" s="35" t="s">
        <v>97</v>
      </c>
      <c r="C36" s="26" t="s">
        <v>117</v>
      </c>
      <c r="D36" s="28" t="s">
        <v>118</v>
      </c>
      <c r="E36" s="29" t="s">
        <v>119</v>
      </c>
      <c r="F36" s="30">
        <f>403750</f>
        <v>403750</v>
      </c>
      <c r="G36" s="36">
        <v>0</v>
      </c>
      <c r="H36" s="32" t="s">
        <v>65</v>
      </c>
      <c r="I36" s="33">
        <f t="shared" si="0"/>
        <v>100</v>
      </c>
    </row>
    <row r="37" spans="1:9" s="34" customFormat="1" ht="31.5">
      <c r="A37" s="26" t="s">
        <v>120</v>
      </c>
      <c r="B37" s="35" t="s">
        <v>97</v>
      </c>
      <c r="C37" s="26" t="s">
        <v>121</v>
      </c>
      <c r="D37" s="28" t="s">
        <v>122</v>
      </c>
      <c r="E37" s="29" t="s">
        <v>123</v>
      </c>
      <c r="F37" s="30">
        <f>369750</f>
        <v>369750</v>
      </c>
      <c r="G37" s="36">
        <v>0</v>
      </c>
      <c r="H37" s="32" t="s">
        <v>107</v>
      </c>
      <c r="I37" s="33">
        <f t="shared" si="0"/>
        <v>100</v>
      </c>
    </row>
    <row r="38" spans="1:9" s="34" customFormat="1" ht="31.5">
      <c r="A38" s="26" t="s">
        <v>124</v>
      </c>
      <c r="B38" s="35" t="s">
        <v>97</v>
      </c>
      <c r="C38" s="26" t="s">
        <v>125</v>
      </c>
      <c r="D38" s="28" t="s">
        <v>126</v>
      </c>
      <c r="E38" s="29" t="s">
        <v>127</v>
      </c>
      <c r="F38" s="30">
        <f>395250</f>
        <v>395250</v>
      </c>
      <c r="G38" s="36">
        <v>0</v>
      </c>
      <c r="H38" s="32" t="s">
        <v>107</v>
      </c>
      <c r="I38" s="33">
        <f t="shared" si="0"/>
        <v>100</v>
      </c>
    </row>
    <row r="39" spans="1:9" s="34" customFormat="1" ht="31.5">
      <c r="A39" s="26" t="s">
        <v>128</v>
      </c>
      <c r="B39" s="35" t="s">
        <v>97</v>
      </c>
      <c r="C39" s="26" t="s">
        <v>129</v>
      </c>
      <c r="D39" s="28" t="s">
        <v>130</v>
      </c>
      <c r="E39" s="29" t="s">
        <v>131</v>
      </c>
      <c r="F39" s="30">
        <f>233750</f>
        <v>233750</v>
      </c>
      <c r="G39" s="36">
        <v>0</v>
      </c>
      <c r="H39" s="32" t="s">
        <v>89</v>
      </c>
      <c r="I39" s="33">
        <f t="shared" si="0"/>
        <v>100</v>
      </c>
    </row>
    <row r="40" spans="1:9" s="34" customFormat="1" ht="31.5">
      <c r="A40" s="26" t="s">
        <v>132</v>
      </c>
      <c r="B40" s="35" t="s">
        <v>97</v>
      </c>
      <c r="C40" s="26" t="s">
        <v>133</v>
      </c>
      <c r="D40" s="28" t="s">
        <v>134</v>
      </c>
      <c r="E40" s="29" t="s">
        <v>135</v>
      </c>
      <c r="F40" s="30">
        <f>259250</f>
        <v>259250</v>
      </c>
      <c r="G40" s="36">
        <v>0</v>
      </c>
      <c r="H40" s="32" t="s">
        <v>89</v>
      </c>
      <c r="I40" s="33">
        <f t="shared" si="0"/>
        <v>100</v>
      </c>
    </row>
    <row r="41" spans="1:9" s="34" customFormat="1" ht="21">
      <c r="A41" s="26" t="s">
        <v>136</v>
      </c>
      <c r="B41" s="35" t="s">
        <v>97</v>
      </c>
      <c r="C41" s="26" t="s">
        <v>137</v>
      </c>
      <c r="D41" s="28" t="s">
        <v>138</v>
      </c>
      <c r="E41" s="29" t="s">
        <v>139</v>
      </c>
      <c r="F41" s="30">
        <f>860000</f>
        <v>860000</v>
      </c>
      <c r="G41" s="31">
        <f>82560</f>
        <v>82560</v>
      </c>
      <c r="H41" s="32" t="s">
        <v>83</v>
      </c>
      <c r="I41" s="33">
        <f t="shared" si="0"/>
        <v>90.4</v>
      </c>
    </row>
    <row r="42" spans="1:9" s="34" customFormat="1" ht="21">
      <c r="A42" s="26" t="s">
        <v>140</v>
      </c>
      <c r="B42" s="35" t="s">
        <v>97</v>
      </c>
      <c r="C42" s="26" t="s">
        <v>141</v>
      </c>
      <c r="D42" s="28" t="s">
        <v>142</v>
      </c>
      <c r="E42" s="29" t="s">
        <v>143</v>
      </c>
      <c r="F42" s="30">
        <f>612000</f>
        <v>612000</v>
      </c>
      <c r="G42" s="36">
        <v>0</v>
      </c>
      <c r="H42" s="32" t="s">
        <v>89</v>
      </c>
      <c r="I42" s="33">
        <f t="shared" si="0"/>
        <v>100</v>
      </c>
    </row>
    <row r="43" spans="1:9" s="34" customFormat="1" ht="31.5">
      <c r="A43" s="26" t="s">
        <v>144</v>
      </c>
      <c r="B43" s="35" t="s">
        <v>97</v>
      </c>
      <c r="C43" s="26" t="s">
        <v>145</v>
      </c>
      <c r="D43" s="28" t="s">
        <v>146</v>
      </c>
      <c r="E43" s="29" t="s">
        <v>147</v>
      </c>
      <c r="F43" s="30">
        <f>12750</f>
        <v>12750</v>
      </c>
      <c r="G43" s="31">
        <f>12240</f>
        <v>12240</v>
      </c>
      <c r="H43" s="32" t="s">
        <v>83</v>
      </c>
      <c r="I43" s="33">
        <f t="shared" si="0"/>
        <v>4</v>
      </c>
    </row>
    <row r="44" spans="1:9" s="34" customFormat="1" ht="31.5">
      <c r="A44" s="26" t="s">
        <v>148</v>
      </c>
      <c r="B44" s="35" t="s">
        <v>97</v>
      </c>
      <c r="C44" s="26" t="s">
        <v>149</v>
      </c>
      <c r="D44" s="28" t="s">
        <v>150</v>
      </c>
      <c r="E44" s="29" t="s">
        <v>151</v>
      </c>
      <c r="F44" s="30">
        <f>208250</f>
        <v>208250</v>
      </c>
      <c r="G44" s="36">
        <v>0</v>
      </c>
      <c r="H44" s="32" t="s">
        <v>152</v>
      </c>
      <c r="I44" s="33">
        <f t="shared" si="0"/>
        <v>100</v>
      </c>
    </row>
    <row r="45" spans="1:9" s="34" customFormat="1" ht="31.5">
      <c r="A45" s="26" t="s">
        <v>153</v>
      </c>
      <c r="B45" s="35" t="s">
        <v>97</v>
      </c>
      <c r="C45" s="26" t="s">
        <v>154</v>
      </c>
      <c r="D45" s="28" t="s">
        <v>155</v>
      </c>
      <c r="E45" s="29" t="s">
        <v>156</v>
      </c>
      <c r="F45" s="30">
        <f>518500</f>
        <v>518500</v>
      </c>
      <c r="G45" s="31">
        <f>207400</f>
        <v>207400</v>
      </c>
      <c r="H45" s="32" t="s">
        <v>157</v>
      </c>
      <c r="I45" s="33">
        <f t="shared" si="0"/>
        <v>60</v>
      </c>
    </row>
    <row r="46" spans="1:9" s="34" customFormat="1" ht="21">
      <c r="A46" s="26" t="s">
        <v>158</v>
      </c>
      <c r="B46" s="35" t="s">
        <v>97</v>
      </c>
      <c r="C46" s="26" t="s">
        <v>159</v>
      </c>
      <c r="D46" s="28" t="s">
        <v>160</v>
      </c>
      <c r="E46" s="29" t="s">
        <v>161</v>
      </c>
      <c r="F46" s="30">
        <f>2069750</f>
        <v>2069750</v>
      </c>
      <c r="G46" s="36">
        <v>0</v>
      </c>
      <c r="H46" s="32" t="s">
        <v>162</v>
      </c>
      <c r="I46" s="33">
        <f t="shared" si="0"/>
        <v>100</v>
      </c>
    </row>
    <row r="47" spans="1:9" s="34" customFormat="1" ht="21">
      <c r="A47" s="26" t="s">
        <v>163</v>
      </c>
      <c r="B47" s="35" t="s">
        <v>97</v>
      </c>
      <c r="C47" s="26" t="s">
        <v>164</v>
      </c>
      <c r="D47" s="28" t="s">
        <v>165</v>
      </c>
      <c r="E47" s="29" t="s">
        <v>61</v>
      </c>
      <c r="F47" s="30">
        <f>4250</f>
        <v>4250</v>
      </c>
      <c r="G47" s="31">
        <f>1530</f>
        <v>1530</v>
      </c>
      <c r="H47" s="32" t="s">
        <v>166</v>
      </c>
      <c r="I47" s="33">
        <f t="shared" si="0"/>
        <v>64</v>
      </c>
    </row>
    <row r="48" spans="1:9" s="34" customFormat="1" ht="21">
      <c r="A48" s="26" t="s">
        <v>167</v>
      </c>
      <c r="B48" s="35" t="s">
        <v>97</v>
      </c>
      <c r="C48" s="26" t="s">
        <v>168</v>
      </c>
      <c r="D48" s="28" t="s">
        <v>169</v>
      </c>
      <c r="E48" s="29" t="s">
        <v>170</v>
      </c>
      <c r="F48" s="30">
        <f>204000</f>
        <v>204000</v>
      </c>
      <c r="G48" s="31">
        <f>81600</f>
        <v>81600</v>
      </c>
      <c r="H48" s="32" t="s">
        <v>157</v>
      </c>
      <c r="I48" s="33">
        <f t="shared" si="0"/>
        <v>60</v>
      </c>
    </row>
    <row r="49" spans="1:9" s="34" customFormat="1" ht="31.5">
      <c r="A49" s="26" t="s">
        <v>171</v>
      </c>
      <c r="B49" s="35" t="s">
        <v>97</v>
      </c>
      <c r="C49" s="26" t="s">
        <v>172</v>
      </c>
      <c r="D49" s="28" t="s">
        <v>173</v>
      </c>
      <c r="E49" s="29" t="s">
        <v>174</v>
      </c>
      <c r="F49" s="30">
        <f>484500</f>
        <v>484500</v>
      </c>
      <c r="G49" s="36">
        <v>0</v>
      </c>
      <c r="H49" s="32" t="s">
        <v>162</v>
      </c>
      <c r="I49" s="33">
        <f t="shared" si="0"/>
        <v>100</v>
      </c>
    </row>
    <row r="50" spans="1:9" s="34" customFormat="1" ht="31.5">
      <c r="A50" s="26" t="s">
        <v>175</v>
      </c>
      <c r="B50" s="35" t="s">
        <v>97</v>
      </c>
      <c r="C50" s="26" t="s">
        <v>176</v>
      </c>
      <c r="D50" s="28" t="s">
        <v>177</v>
      </c>
      <c r="E50" s="29" t="s">
        <v>178</v>
      </c>
      <c r="F50" s="30">
        <f>318750</f>
        <v>318750</v>
      </c>
      <c r="G50" s="36">
        <v>0</v>
      </c>
      <c r="H50" s="32" t="s">
        <v>179</v>
      </c>
      <c r="I50" s="33">
        <f t="shared" si="0"/>
        <v>100</v>
      </c>
    </row>
    <row r="51" spans="1:9" s="34" customFormat="1" ht="31.5">
      <c r="A51" s="26" t="s">
        <v>180</v>
      </c>
      <c r="B51" s="35" t="s">
        <v>97</v>
      </c>
      <c r="C51" s="26" t="s">
        <v>181</v>
      </c>
      <c r="D51" s="28" t="s">
        <v>182</v>
      </c>
      <c r="E51" s="29" t="s">
        <v>183</v>
      </c>
      <c r="F51" s="30">
        <f>340000</f>
        <v>340000</v>
      </c>
      <c r="G51" s="36">
        <v>0</v>
      </c>
      <c r="H51" s="32" t="s">
        <v>77</v>
      </c>
      <c r="I51" s="33">
        <f t="shared" si="0"/>
        <v>100</v>
      </c>
    </row>
    <row r="52" spans="1:9" s="34" customFormat="1" ht="31.5">
      <c r="A52" s="26" t="s">
        <v>184</v>
      </c>
      <c r="B52" s="35" t="s">
        <v>97</v>
      </c>
      <c r="C52" s="26" t="s">
        <v>185</v>
      </c>
      <c r="D52" s="28" t="s">
        <v>186</v>
      </c>
      <c r="E52" s="29" t="s">
        <v>187</v>
      </c>
      <c r="F52" s="30">
        <f>1219750</f>
        <v>1219750</v>
      </c>
      <c r="G52" s="36">
        <v>0</v>
      </c>
      <c r="H52" s="32" t="s">
        <v>188</v>
      </c>
      <c r="I52" s="33">
        <f t="shared" si="0"/>
        <v>100</v>
      </c>
    </row>
    <row r="53" spans="1:9" s="34" customFormat="1" ht="31.5">
      <c r="A53" s="26" t="s">
        <v>189</v>
      </c>
      <c r="B53" s="35" t="s">
        <v>97</v>
      </c>
      <c r="C53" s="26" t="s">
        <v>190</v>
      </c>
      <c r="D53" s="28" t="s">
        <v>191</v>
      </c>
      <c r="E53" s="29" t="s">
        <v>192</v>
      </c>
      <c r="F53" s="30">
        <f>178500</f>
        <v>178500</v>
      </c>
      <c r="G53" s="31">
        <f>64260</f>
        <v>64260</v>
      </c>
      <c r="H53" s="32" t="s">
        <v>166</v>
      </c>
      <c r="I53" s="33">
        <f t="shared" si="0"/>
        <v>64</v>
      </c>
    </row>
    <row r="54" spans="1:9" s="34" customFormat="1" ht="21">
      <c r="A54" s="26" t="s">
        <v>193</v>
      </c>
      <c r="B54" s="35" t="s">
        <v>97</v>
      </c>
      <c r="C54" s="26" t="s">
        <v>194</v>
      </c>
      <c r="D54" s="28" t="s">
        <v>195</v>
      </c>
      <c r="E54" s="29" t="s">
        <v>196</v>
      </c>
      <c r="F54" s="30">
        <f>4779477.36</f>
        <v>4779477.36</v>
      </c>
      <c r="G54" s="31">
        <f>716920.86</f>
        <v>716920.86</v>
      </c>
      <c r="H54" s="32" t="s">
        <v>166</v>
      </c>
      <c r="I54" s="33">
        <f t="shared" si="0"/>
        <v>85.00001556655559</v>
      </c>
    </row>
    <row r="55" spans="1:9" s="34" customFormat="1" ht="31.5">
      <c r="A55" s="26" t="s">
        <v>197</v>
      </c>
      <c r="B55" s="35" t="s">
        <v>97</v>
      </c>
      <c r="C55" s="26" t="s">
        <v>198</v>
      </c>
      <c r="D55" s="28" t="s">
        <v>199</v>
      </c>
      <c r="E55" s="29" t="s">
        <v>200</v>
      </c>
      <c r="F55" s="30">
        <f>535500</f>
        <v>535500</v>
      </c>
      <c r="G55" s="31">
        <f>449820</f>
        <v>449820</v>
      </c>
      <c r="H55" s="32" t="s">
        <v>201</v>
      </c>
      <c r="I55" s="33">
        <f t="shared" si="0"/>
        <v>16</v>
      </c>
    </row>
    <row r="56" spans="1:9" s="34" customFormat="1" ht="21">
      <c r="A56" s="26" t="s">
        <v>202</v>
      </c>
      <c r="B56" s="35" t="s">
        <v>97</v>
      </c>
      <c r="C56" s="26" t="s">
        <v>203</v>
      </c>
      <c r="D56" s="28" t="s">
        <v>204</v>
      </c>
      <c r="E56" s="29" t="s">
        <v>106</v>
      </c>
      <c r="F56" s="30">
        <f>212500</f>
        <v>212500</v>
      </c>
      <c r="G56" s="31">
        <f>127500</f>
        <v>127500</v>
      </c>
      <c r="H56" s="32" t="s">
        <v>205</v>
      </c>
      <c r="I56" s="33">
        <f t="shared" si="0"/>
        <v>40</v>
      </c>
    </row>
    <row r="57" spans="1:9" s="34" customFormat="1" ht="31.5">
      <c r="A57" s="26" t="s">
        <v>206</v>
      </c>
      <c r="B57" s="35" t="s">
        <v>97</v>
      </c>
      <c r="C57" s="26" t="s">
        <v>207</v>
      </c>
      <c r="D57" s="28" t="s">
        <v>208</v>
      </c>
      <c r="E57" s="29" t="s">
        <v>209</v>
      </c>
      <c r="F57" s="30">
        <f>382500</f>
        <v>382500</v>
      </c>
      <c r="G57" s="31">
        <f>153000</f>
        <v>153000</v>
      </c>
      <c r="H57" s="32" t="s">
        <v>157</v>
      </c>
      <c r="I57" s="33">
        <f t="shared" si="0"/>
        <v>60</v>
      </c>
    </row>
    <row r="58" spans="1:9" s="34" customFormat="1" ht="21">
      <c r="A58" s="26" t="s">
        <v>210</v>
      </c>
      <c r="B58" s="35" t="s">
        <v>97</v>
      </c>
      <c r="C58" s="26" t="s">
        <v>211</v>
      </c>
      <c r="D58" s="28" t="s">
        <v>212</v>
      </c>
      <c r="E58" s="29" t="s">
        <v>213</v>
      </c>
      <c r="F58" s="30">
        <f>890000</f>
        <v>890000</v>
      </c>
      <c r="G58" s="31">
        <v>830572.09</v>
      </c>
      <c r="H58" s="32" t="s">
        <v>214</v>
      </c>
      <c r="I58" s="33">
        <f t="shared" si="0"/>
        <v>6.677293258426971</v>
      </c>
    </row>
    <row r="59" spans="1:9" s="34" customFormat="1" ht="31.5">
      <c r="A59" s="26" t="s">
        <v>215</v>
      </c>
      <c r="B59" s="35" t="s">
        <v>97</v>
      </c>
      <c r="C59" s="26" t="s">
        <v>216</v>
      </c>
      <c r="D59" s="28" t="s">
        <v>217</v>
      </c>
      <c r="E59" s="29" t="s">
        <v>218</v>
      </c>
      <c r="F59" s="30">
        <f>57367.03</f>
        <v>57367.03</v>
      </c>
      <c r="G59" s="36">
        <v>0</v>
      </c>
      <c r="H59" s="32" t="s">
        <v>47</v>
      </c>
      <c r="I59" s="33">
        <f t="shared" si="0"/>
        <v>100</v>
      </c>
    </row>
    <row r="60" spans="1:9" s="34" customFormat="1" ht="21">
      <c r="A60" s="26" t="s">
        <v>219</v>
      </c>
      <c r="B60" s="35" t="s">
        <v>97</v>
      </c>
      <c r="C60" s="26" t="s">
        <v>220</v>
      </c>
      <c r="D60" s="28" t="s">
        <v>221</v>
      </c>
      <c r="E60" s="29" t="s">
        <v>222</v>
      </c>
      <c r="F60" s="30">
        <f>552500</f>
        <v>552500</v>
      </c>
      <c r="G60" s="36">
        <v>0</v>
      </c>
      <c r="H60" s="32" t="s">
        <v>223</v>
      </c>
      <c r="I60" s="33">
        <f t="shared" si="0"/>
        <v>100</v>
      </c>
    </row>
    <row r="61" spans="1:9" s="34" customFormat="1" ht="21">
      <c r="A61" s="26" t="s">
        <v>224</v>
      </c>
      <c r="B61" s="35" t="s">
        <v>97</v>
      </c>
      <c r="C61" s="26" t="s">
        <v>225</v>
      </c>
      <c r="D61" s="28" t="s">
        <v>226</v>
      </c>
      <c r="E61" s="29" t="s">
        <v>227</v>
      </c>
      <c r="F61" s="30">
        <f>1233676.17</f>
        <v>1233676.17</v>
      </c>
      <c r="G61" s="31">
        <v>0</v>
      </c>
      <c r="H61" s="32" t="s">
        <v>214</v>
      </c>
      <c r="I61" s="33">
        <f t="shared" si="0"/>
        <v>100</v>
      </c>
    </row>
    <row r="62" spans="1:9" s="34" customFormat="1" ht="21">
      <c r="A62" s="26" t="s">
        <v>228</v>
      </c>
      <c r="B62" s="35" t="s">
        <v>97</v>
      </c>
      <c r="C62" s="26" t="s">
        <v>229</v>
      </c>
      <c r="D62" s="28" t="s">
        <v>230</v>
      </c>
      <c r="E62" s="29" t="s">
        <v>147</v>
      </c>
      <c r="F62" s="30">
        <f>3387.1</f>
        <v>3387.1</v>
      </c>
      <c r="G62" s="31">
        <f>34</f>
        <v>34</v>
      </c>
      <c r="H62" s="32" t="s">
        <v>77</v>
      </c>
      <c r="I62" s="33">
        <f t="shared" si="0"/>
        <v>98.99619143219864</v>
      </c>
    </row>
    <row r="63" spans="1:9" s="34" customFormat="1" ht="31.5">
      <c r="A63" s="26" t="s">
        <v>231</v>
      </c>
      <c r="B63" s="35" t="s">
        <v>97</v>
      </c>
      <c r="C63" s="26" t="s">
        <v>232</v>
      </c>
      <c r="D63" s="28" t="s">
        <v>233</v>
      </c>
      <c r="E63" s="29" t="s">
        <v>234</v>
      </c>
      <c r="F63" s="30">
        <f>2140560.72</f>
        <v>2140560.72</v>
      </c>
      <c r="G63" s="31">
        <v>2472.84</v>
      </c>
      <c r="H63" s="32" t="s">
        <v>52</v>
      </c>
      <c r="I63" s="33">
        <f t="shared" si="0"/>
        <v>99.88447699815775</v>
      </c>
    </row>
    <row r="64" spans="1:9" s="34" customFormat="1" ht="21">
      <c r="A64" s="26" t="s">
        <v>235</v>
      </c>
      <c r="B64" s="35" t="s">
        <v>97</v>
      </c>
      <c r="C64" s="26" t="s">
        <v>236</v>
      </c>
      <c r="D64" s="28" t="s">
        <v>237</v>
      </c>
      <c r="E64" s="29" t="s">
        <v>178</v>
      </c>
      <c r="F64" s="30">
        <f>89250</f>
        <v>89250</v>
      </c>
      <c r="G64" s="31">
        <f>64260</f>
        <v>64260</v>
      </c>
      <c r="H64" s="32" t="s">
        <v>238</v>
      </c>
      <c r="I64" s="33">
        <f t="shared" si="0"/>
        <v>28</v>
      </c>
    </row>
    <row r="65" spans="1:9" s="34" customFormat="1" ht="31.5">
      <c r="A65" s="26" t="s">
        <v>239</v>
      </c>
      <c r="B65" s="35" t="s">
        <v>97</v>
      </c>
      <c r="C65" s="26" t="s">
        <v>240</v>
      </c>
      <c r="D65" s="28" t="s">
        <v>241</v>
      </c>
      <c r="E65" s="29" t="s">
        <v>25</v>
      </c>
      <c r="F65" s="30">
        <f>1275000</f>
        <v>1275000</v>
      </c>
      <c r="G65" s="36">
        <v>0</v>
      </c>
      <c r="H65" s="32" t="s">
        <v>152</v>
      </c>
      <c r="I65" s="33">
        <f t="shared" si="0"/>
        <v>100</v>
      </c>
    </row>
    <row r="66" spans="1:9" s="34" customFormat="1" ht="21">
      <c r="A66" s="26" t="s">
        <v>242</v>
      </c>
      <c r="B66" s="35" t="s">
        <v>97</v>
      </c>
      <c r="C66" s="26" t="s">
        <v>243</v>
      </c>
      <c r="D66" s="28" t="s">
        <v>44</v>
      </c>
      <c r="E66" s="29" t="s">
        <v>222</v>
      </c>
      <c r="F66" s="30">
        <f>36753.33</f>
        <v>36753.33</v>
      </c>
      <c r="G66" s="36">
        <v>512</v>
      </c>
      <c r="H66" s="32" t="s">
        <v>244</v>
      </c>
      <c r="I66" s="33">
        <f t="shared" si="0"/>
        <v>98.60692895038355</v>
      </c>
    </row>
    <row r="67" spans="1:9" s="34" customFormat="1" ht="21">
      <c r="A67" s="26" t="s">
        <v>61</v>
      </c>
      <c r="B67" s="35" t="s">
        <v>97</v>
      </c>
      <c r="C67" s="26" t="s">
        <v>245</v>
      </c>
      <c r="D67" s="28" t="s">
        <v>246</v>
      </c>
      <c r="E67" s="29" t="s">
        <v>227</v>
      </c>
      <c r="F67" s="30">
        <f>433500</f>
        <v>433500</v>
      </c>
      <c r="G67" s="36">
        <v>0</v>
      </c>
      <c r="H67" s="32" t="s">
        <v>47</v>
      </c>
      <c r="I67" s="33">
        <f t="shared" si="0"/>
        <v>100</v>
      </c>
    </row>
    <row r="68" spans="1:9" s="34" customFormat="1" ht="21">
      <c r="A68" s="26" t="s">
        <v>247</v>
      </c>
      <c r="B68" s="35" t="s">
        <v>97</v>
      </c>
      <c r="C68" s="26" t="s">
        <v>248</v>
      </c>
      <c r="D68" s="28" t="s">
        <v>249</v>
      </c>
      <c r="E68" s="29" t="s">
        <v>250</v>
      </c>
      <c r="F68" s="30">
        <f>136500</f>
        <v>136500</v>
      </c>
      <c r="G68" s="36">
        <v>0</v>
      </c>
      <c r="H68" s="32" t="s">
        <v>188</v>
      </c>
      <c r="I68" s="33">
        <f t="shared" si="0"/>
        <v>100</v>
      </c>
    </row>
    <row r="69" spans="1:9" s="34" customFormat="1" ht="31.5">
      <c r="A69" s="26" t="s">
        <v>251</v>
      </c>
      <c r="B69" s="35" t="s">
        <v>97</v>
      </c>
      <c r="C69" s="26" t="s">
        <v>252</v>
      </c>
      <c r="D69" s="28" t="s">
        <v>253</v>
      </c>
      <c r="E69" s="29" t="s">
        <v>254</v>
      </c>
      <c r="F69" s="30">
        <f>1666000</f>
        <v>1666000</v>
      </c>
      <c r="G69" s="36">
        <v>0</v>
      </c>
      <c r="H69" s="32" t="s">
        <v>255</v>
      </c>
      <c r="I69" s="33">
        <f t="shared" si="0"/>
        <v>100</v>
      </c>
    </row>
    <row r="70" spans="1:9" s="34" customFormat="1" ht="21">
      <c r="A70" s="26" t="s">
        <v>256</v>
      </c>
      <c r="B70" s="35" t="s">
        <v>257</v>
      </c>
      <c r="C70" s="26" t="s">
        <v>25</v>
      </c>
      <c r="D70" s="28" t="s">
        <v>258</v>
      </c>
      <c r="E70" s="29" t="s">
        <v>25</v>
      </c>
      <c r="F70" s="30">
        <f aca="true" t="shared" si="1" ref="F70:F85">100</f>
        <v>100</v>
      </c>
      <c r="G70" s="36">
        <v>0</v>
      </c>
      <c r="H70" s="32" t="s">
        <v>58</v>
      </c>
      <c r="I70" s="33">
        <f t="shared" si="0"/>
        <v>100</v>
      </c>
    </row>
    <row r="71" spans="1:9" s="34" customFormat="1" ht="21">
      <c r="A71" s="26" t="s">
        <v>259</v>
      </c>
      <c r="B71" s="35" t="s">
        <v>260</v>
      </c>
      <c r="C71" s="26" t="s">
        <v>25</v>
      </c>
      <c r="D71" s="28" t="s">
        <v>261</v>
      </c>
      <c r="E71" s="29" t="s">
        <v>25</v>
      </c>
      <c r="F71" s="30">
        <f t="shared" si="1"/>
        <v>100</v>
      </c>
      <c r="G71" s="36">
        <v>0</v>
      </c>
      <c r="H71" s="32" t="s">
        <v>25</v>
      </c>
      <c r="I71" s="33">
        <f t="shared" si="0"/>
        <v>100</v>
      </c>
    </row>
    <row r="72" spans="1:9" s="34" customFormat="1" ht="21">
      <c r="A72" s="26" t="s">
        <v>262</v>
      </c>
      <c r="B72" s="35" t="s">
        <v>260</v>
      </c>
      <c r="C72" s="26" t="s">
        <v>25</v>
      </c>
      <c r="D72" s="28" t="s">
        <v>263</v>
      </c>
      <c r="E72" s="29" t="s">
        <v>25</v>
      </c>
      <c r="F72" s="30">
        <f t="shared" si="1"/>
        <v>100</v>
      </c>
      <c r="G72" s="36">
        <v>0</v>
      </c>
      <c r="H72" s="32" t="s">
        <v>25</v>
      </c>
      <c r="I72" s="33">
        <f t="shared" si="0"/>
        <v>100</v>
      </c>
    </row>
    <row r="73" spans="1:9" s="34" customFormat="1" ht="21">
      <c r="A73" s="26" t="s">
        <v>264</v>
      </c>
      <c r="B73" s="35" t="s">
        <v>260</v>
      </c>
      <c r="C73" s="26" t="s">
        <v>25</v>
      </c>
      <c r="D73" s="28" t="s">
        <v>265</v>
      </c>
      <c r="E73" s="29" t="s">
        <v>25</v>
      </c>
      <c r="F73" s="30">
        <f t="shared" si="1"/>
        <v>100</v>
      </c>
      <c r="G73" s="36">
        <v>0</v>
      </c>
      <c r="H73" s="32" t="s">
        <v>25</v>
      </c>
      <c r="I73" s="33">
        <f t="shared" si="0"/>
        <v>100</v>
      </c>
    </row>
    <row r="74" spans="1:9" s="34" customFormat="1" ht="21">
      <c r="A74" s="26" t="s">
        <v>266</v>
      </c>
      <c r="B74" s="35" t="s">
        <v>260</v>
      </c>
      <c r="C74" s="26" t="s">
        <v>25</v>
      </c>
      <c r="D74" s="28" t="s">
        <v>267</v>
      </c>
      <c r="E74" s="29" t="s">
        <v>25</v>
      </c>
      <c r="F74" s="30">
        <f t="shared" si="1"/>
        <v>100</v>
      </c>
      <c r="G74" s="36">
        <v>0</v>
      </c>
      <c r="H74" s="32" t="s">
        <v>25</v>
      </c>
      <c r="I74" s="33">
        <f t="shared" si="0"/>
        <v>100</v>
      </c>
    </row>
    <row r="75" spans="1:9" s="34" customFormat="1" ht="21">
      <c r="A75" s="26" t="s">
        <v>268</v>
      </c>
      <c r="B75" s="35" t="s">
        <v>260</v>
      </c>
      <c r="C75" s="26" t="s">
        <v>25</v>
      </c>
      <c r="D75" s="28" t="s">
        <v>269</v>
      </c>
      <c r="E75" s="29" t="s">
        <v>25</v>
      </c>
      <c r="F75" s="30">
        <f t="shared" si="1"/>
        <v>100</v>
      </c>
      <c r="G75" s="36">
        <v>0</v>
      </c>
      <c r="H75" s="32" t="s">
        <v>25</v>
      </c>
      <c r="I75" s="33">
        <f t="shared" si="0"/>
        <v>100</v>
      </c>
    </row>
    <row r="76" spans="1:9" s="34" customFormat="1" ht="21">
      <c r="A76" s="26" t="s">
        <v>270</v>
      </c>
      <c r="B76" s="35" t="s">
        <v>260</v>
      </c>
      <c r="C76" s="26" t="s">
        <v>25</v>
      </c>
      <c r="D76" s="28" t="s">
        <v>271</v>
      </c>
      <c r="E76" s="29" t="s">
        <v>25</v>
      </c>
      <c r="F76" s="30">
        <f t="shared" si="1"/>
        <v>100</v>
      </c>
      <c r="G76" s="36">
        <v>0</v>
      </c>
      <c r="H76" s="32" t="s">
        <v>25</v>
      </c>
      <c r="I76" s="33">
        <f t="shared" si="0"/>
        <v>100</v>
      </c>
    </row>
    <row r="77" spans="1:9" s="34" customFormat="1" ht="21">
      <c r="A77" s="26" t="s">
        <v>272</v>
      </c>
      <c r="B77" s="35" t="s">
        <v>260</v>
      </c>
      <c r="C77" s="26" t="s">
        <v>25</v>
      </c>
      <c r="D77" s="28" t="s">
        <v>273</v>
      </c>
      <c r="E77" s="29" t="s">
        <v>25</v>
      </c>
      <c r="F77" s="30">
        <f t="shared" si="1"/>
        <v>100</v>
      </c>
      <c r="G77" s="36">
        <v>0</v>
      </c>
      <c r="H77" s="32" t="s">
        <v>25</v>
      </c>
      <c r="I77" s="33">
        <f t="shared" si="0"/>
        <v>100</v>
      </c>
    </row>
    <row r="78" spans="1:9" s="34" customFormat="1" ht="21">
      <c r="A78" s="26" t="s">
        <v>274</v>
      </c>
      <c r="B78" s="35" t="s">
        <v>260</v>
      </c>
      <c r="C78" s="26" t="s">
        <v>25</v>
      </c>
      <c r="D78" s="28" t="s">
        <v>275</v>
      </c>
      <c r="E78" s="29" t="s">
        <v>25</v>
      </c>
      <c r="F78" s="30">
        <f t="shared" si="1"/>
        <v>100</v>
      </c>
      <c r="G78" s="36">
        <v>0</v>
      </c>
      <c r="H78" s="32" t="s">
        <v>25</v>
      </c>
      <c r="I78" s="33">
        <f t="shared" si="0"/>
        <v>100</v>
      </c>
    </row>
    <row r="79" spans="1:9" s="34" customFormat="1" ht="21">
      <c r="A79" s="26" t="s">
        <v>276</v>
      </c>
      <c r="B79" s="35" t="s">
        <v>260</v>
      </c>
      <c r="C79" s="26" t="s">
        <v>25</v>
      </c>
      <c r="D79" s="28" t="s">
        <v>277</v>
      </c>
      <c r="E79" s="29" t="s">
        <v>25</v>
      </c>
      <c r="F79" s="30">
        <f t="shared" si="1"/>
        <v>100</v>
      </c>
      <c r="G79" s="36">
        <v>0</v>
      </c>
      <c r="H79" s="32" t="s">
        <v>25</v>
      </c>
      <c r="I79" s="33">
        <f t="shared" si="0"/>
        <v>100</v>
      </c>
    </row>
    <row r="80" spans="1:9" s="34" customFormat="1" ht="21">
      <c r="A80" s="26" t="s">
        <v>278</v>
      </c>
      <c r="B80" s="35" t="s">
        <v>260</v>
      </c>
      <c r="C80" s="26" t="s">
        <v>25</v>
      </c>
      <c r="D80" s="28" t="s">
        <v>279</v>
      </c>
      <c r="E80" s="29" t="s">
        <v>25</v>
      </c>
      <c r="F80" s="30">
        <f t="shared" si="1"/>
        <v>100</v>
      </c>
      <c r="G80" s="36">
        <v>0</v>
      </c>
      <c r="H80" s="32" t="s">
        <v>25</v>
      </c>
      <c r="I80" s="33">
        <f t="shared" si="0"/>
        <v>100</v>
      </c>
    </row>
    <row r="81" spans="1:9" s="34" customFormat="1" ht="21">
      <c r="A81" s="26" t="s">
        <v>280</v>
      </c>
      <c r="B81" s="35" t="s">
        <v>260</v>
      </c>
      <c r="C81" s="26" t="s">
        <v>25</v>
      </c>
      <c r="D81" s="28" t="s">
        <v>281</v>
      </c>
      <c r="E81" s="29" t="s">
        <v>25</v>
      </c>
      <c r="F81" s="30">
        <f t="shared" si="1"/>
        <v>100</v>
      </c>
      <c r="G81" s="36">
        <v>0</v>
      </c>
      <c r="H81" s="32" t="s">
        <v>25</v>
      </c>
      <c r="I81" s="33">
        <f t="shared" si="0"/>
        <v>100</v>
      </c>
    </row>
    <row r="82" spans="1:9" s="34" customFormat="1" ht="21">
      <c r="A82" s="26" t="s">
        <v>282</v>
      </c>
      <c r="B82" s="35" t="s">
        <v>260</v>
      </c>
      <c r="C82" s="26" t="s">
        <v>25</v>
      </c>
      <c r="D82" s="28" t="s">
        <v>283</v>
      </c>
      <c r="E82" s="29" t="s">
        <v>25</v>
      </c>
      <c r="F82" s="30">
        <f t="shared" si="1"/>
        <v>100</v>
      </c>
      <c r="G82" s="36">
        <v>0</v>
      </c>
      <c r="H82" s="32" t="s">
        <v>25</v>
      </c>
      <c r="I82" s="33">
        <f t="shared" si="0"/>
        <v>100</v>
      </c>
    </row>
    <row r="83" spans="1:9" s="34" customFormat="1" ht="21">
      <c r="A83" s="26" t="s">
        <v>284</v>
      </c>
      <c r="B83" s="35" t="s">
        <v>260</v>
      </c>
      <c r="C83" s="26" t="s">
        <v>25</v>
      </c>
      <c r="D83" s="28" t="s">
        <v>285</v>
      </c>
      <c r="E83" s="29" t="s">
        <v>25</v>
      </c>
      <c r="F83" s="30">
        <f t="shared" si="1"/>
        <v>100</v>
      </c>
      <c r="G83" s="36">
        <v>0</v>
      </c>
      <c r="H83" s="32" t="s">
        <v>25</v>
      </c>
      <c r="I83" s="33">
        <f aca="true" t="shared" si="2" ref="I83:I116">SUM(100-G83*100/F83)</f>
        <v>100</v>
      </c>
    </row>
    <row r="84" spans="1:9" s="34" customFormat="1" ht="21">
      <c r="A84" s="26" t="s">
        <v>286</v>
      </c>
      <c r="B84" s="35" t="s">
        <v>260</v>
      </c>
      <c r="C84" s="26" t="s">
        <v>25</v>
      </c>
      <c r="D84" s="28" t="s">
        <v>287</v>
      </c>
      <c r="E84" s="29" t="s">
        <v>25</v>
      </c>
      <c r="F84" s="30">
        <f t="shared" si="1"/>
        <v>100</v>
      </c>
      <c r="G84" s="36">
        <v>0</v>
      </c>
      <c r="H84" s="32" t="s">
        <v>25</v>
      </c>
      <c r="I84" s="33">
        <f t="shared" si="2"/>
        <v>100</v>
      </c>
    </row>
    <row r="85" spans="1:9" s="34" customFormat="1" ht="21">
      <c r="A85" s="26" t="s">
        <v>288</v>
      </c>
      <c r="B85" s="35" t="s">
        <v>260</v>
      </c>
      <c r="C85" s="26" t="s">
        <v>25</v>
      </c>
      <c r="D85" s="28" t="s">
        <v>289</v>
      </c>
      <c r="E85" s="29" t="s">
        <v>25</v>
      </c>
      <c r="F85" s="30">
        <f t="shared" si="1"/>
        <v>100</v>
      </c>
      <c r="G85" s="36">
        <v>0</v>
      </c>
      <c r="H85" s="32" t="s">
        <v>25</v>
      </c>
      <c r="I85" s="33">
        <f t="shared" si="2"/>
        <v>100</v>
      </c>
    </row>
    <row r="86" spans="1:9" s="34" customFormat="1" ht="21">
      <c r="A86" s="26" t="s">
        <v>290</v>
      </c>
      <c r="B86" s="35" t="s">
        <v>260</v>
      </c>
      <c r="C86" s="26" t="s">
        <v>25</v>
      </c>
      <c r="D86" s="28" t="s">
        <v>291</v>
      </c>
      <c r="E86" s="29" t="s">
        <v>25</v>
      </c>
      <c r="F86" s="30">
        <f>71650</f>
        <v>71650</v>
      </c>
      <c r="G86" s="36">
        <v>0</v>
      </c>
      <c r="H86" s="32" t="s">
        <v>25</v>
      </c>
      <c r="I86" s="33">
        <f t="shared" si="2"/>
        <v>100</v>
      </c>
    </row>
    <row r="87" spans="1:9" s="34" customFormat="1" ht="21">
      <c r="A87" s="26" t="s">
        <v>292</v>
      </c>
      <c r="B87" s="35" t="s">
        <v>260</v>
      </c>
      <c r="C87" s="26" t="s">
        <v>25</v>
      </c>
      <c r="D87" s="28" t="s">
        <v>293</v>
      </c>
      <c r="E87" s="29" t="s">
        <v>25</v>
      </c>
      <c r="F87" s="30">
        <f>100</f>
        <v>100</v>
      </c>
      <c r="G87" s="36">
        <v>0</v>
      </c>
      <c r="H87" s="32" t="s">
        <v>25</v>
      </c>
      <c r="I87" s="33">
        <f t="shared" si="2"/>
        <v>100</v>
      </c>
    </row>
    <row r="88" spans="1:9" s="34" customFormat="1" ht="21">
      <c r="A88" s="26" t="s">
        <v>294</v>
      </c>
      <c r="B88" s="35" t="s">
        <v>260</v>
      </c>
      <c r="C88" s="26" t="s">
        <v>25</v>
      </c>
      <c r="D88" s="28" t="s">
        <v>295</v>
      </c>
      <c r="E88" s="29" t="s">
        <v>25</v>
      </c>
      <c r="F88" s="30">
        <f>100</f>
        <v>100</v>
      </c>
      <c r="G88" s="36">
        <v>0</v>
      </c>
      <c r="H88" s="32" t="s">
        <v>25</v>
      </c>
      <c r="I88" s="33">
        <f t="shared" si="2"/>
        <v>100</v>
      </c>
    </row>
    <row r="89" spans="1:9" s="34" customFormat="1" ht="21">
      <c r="A89" s="26" t="s">
        <v>296</v>
      </c>
      <c r="B89" s="35" t="s">
        <v>260</v>
      </c>
      <c r="C89" s="26" t="s">
        <v>25</v>
      </c>
      <c r="D89" s="28" t="s">
        <v>297</v>
      </c>
      <c r="E89" s="29" t="s">
        <v>25</v>
      </c>
      <c r="F89" s="30">
        <f>100</f>
        <v>100</v>
      </c>
      <c r="G89" s="36">
        <v>0</v>
      </c>
      <c r="H89" s="32" t="s">
        <v>25</v>
      </c>
      <c r="I89" s="33">
        <f t="shared" si="2"/>
        <v>100</v>
      </c>
    </row>
    <row r="90" spans="1:9" s="34" customFormat="1" ht="21">
      <c r="A90" s="26" t="s">
        <v>298</v>
      </c>
      <c r="B90" s="35" t="s">
        <v>260</v>
      </c>
      <c r="C90" s="26" t="s">
        <v>25</v>
      </c>
      <c r="D90" s="28" t="s">
        <v>299</v>
      </c>
      <c r="E90" s="29" t="s">
        <v>25</v>
      </c>
      <c r="F90" s="30">
        <f>654</f>
        <v>654</v>
      </c>
      <c r="G90" s="36">
        <v>0</v>
      </c>
      <c r="H90" s="32" t="s">
        <v>25</v>
      </c>
      <c r="I90" s="33">
        <f t="shared" si="2"/>
        <v>100</v>
      </c>
    </row>
    <row r="91" spans="1:9" s="34" customFormat="1" ht="21">
      <c r="A91" s="26" t="s">
        <v>300</v>
      </c>
      <c r="B91" s="35" t="s">
        <v>260</v>
      </c>
      <c r="C91" s="26" t="s">
        <v>25</v>
      </c>
      <c r="D91" s="28" t="s">
        <v>301</v>
      </c>
      <c r="E91" s="29" t="s">
        <v>25</v>
      </c>
      <c r="F91" s="30">
        <f>100</f>
        <v>100</v>
      </c>
      <c r="G91" s="36">
        <v>0</v>
      </c>
      <c r="H91" s="32" t="s">
        <v>25</v>
      </c>
      <c r="I91" s="33">
        <f t="shared" si="2"/>
        <v>100</v>
      </c>
    </row>
    <row r="92" spans="1:9" s="34" customFormat="1" ht="21">
      <c r="A92" s="26" t="s">
        <v>302</v>
      </c>
      <c r="B92" s="35" t="s">
        <v>260</v>
      </c>
      <c r="C92" s="26" t="s">
        <v>25</v>
      </c>
      <c r="D92" s="28" t="s">
        <v>303</v>
      </c>
      <c r="E92" s="29" t="s">
        <v>25</v>
      </c>
      <c r="F92" s="30">
        <f>71650</f>
        <v>71650</v>
      </c>
      <c r="G92" s="36">
        <v>0</v>
      </c>
      <c r="H92" s="32" t="s">
        <v>25</v>
      </c>
      <c r="I92" s="33">
        <f t="shared" si="2"/>
        <v>100</v>
      </c>
    </row>
    <row r="93" spans="1:9" s="34" customFormat="1" ht="21">
      <c r="A93" s="26" t="s">
        <v>304</v>
      </c>
      <c r="B93" s="35" t="s">
        <v>260</v>
      </c>
      <c r="C93" s="26" t="s">
        <v>25</v>
      </c>
      <c r="D93" s="28" t="s">
        <v>305</v>
      </c>
      <c r="E93" s="29" t="s">
        <v>25</v>
      </c>
      <c r="F93" s="30">
        <f>100</f>
        <v>100</v>
      </c>
      <c r="G93" s="36">
        <v>0</v>
      </c>
      <c r="H93" s="32" t="s">
        <v>25</v>
      </c>
      <c r="I93" s="33">
        <f t="shared" si="2"/>
        <v>100</v>
      </c>
    </row>
    <row r="94" spans="1:9" s="34" customFormat="1" ht="21">
      <c r="A94" s="26" t="s">
        <v>306</v>
      </c>
      <c r="B94" s="35" t="s">
        <v>260</v>
      </c>
      <c r="C94" s="26" t="s">
        <v>25</v>
      </c>
      <c r="D94" s="28" t="s">
        <v>307</v>
      </c>
      <c r="E94" s="29" t="s">
        <v>25</v>
      </c>
      <c r="F94" s="30">
        <f>71650</f>
        <v>71650</v>
      </c>
      <c r="G94" s="36">
        <v>0</v>
      </c>
      <c r="H94" s="32" t="s">
        <v>25</v>
      </c>
      <c r="I94" s="33">
        <f t="shared" si="2"/>
        <v>100</v>
      </c>
    </row>
    <row r="95" spans="1:9" s="34" customFormat="1" ht="21">
      <c r="A95" s="26" t="s">
        <v>308</v>
      </c>
      <c r="B95" s="35" t="s">
        <v>260</v>
      </c>
      <c r="C95" s="26" t="s">
        <v>25</v>
      </c>
      <c r="D95" s="28" t="s">
        <v>309</v>
      </c>
      <c r="E95" s="29" t="s">
        <v>25</v>
      </c>
      <c r="F95" s="30">
        <f>100</f>
        <v>100</v>
      </c>
      <c r="G95" s="36">
        <v>0</v>
      </c>
      <c r="H95" s="32" t="s">
        <v>25</v>
      </c>
      <c r="I95" s="33">
        <f t="shared" si="2"/>
        <v>100</v>
      </c>
    </row>
    <row r="96" spans="1:9" s="34" customFormat="1" ht="21">
      <c r="A96" s="26" t="s">
        <v>310</v>
      </c>
      <c r="B96" s="35" t="s">
        <v>260</v>
      </c>
      <c r="C96" s="26" t="s">
        <v>25</v>
      </c>
      <c r="D96" s="28" t="s">
        <v>311</v>
      </c>
      <c r="E96" s="29" t="s">
        <v>25</v>
      </c>
      <c r="F96" s="30">
        <f>100</f>
        <v>100</v>
      </c>
      <c r="G96" s="36">
        <v>0</v>
      </c>
      <c r="H96" s="32" t="s">
        <v>25</v>
      </c>
      <c r="I96" s="33">
        <f t="shared" si="2"/>
        <v>100</v>
      </c>
    </row>
    <row r="97" spans="1:9" s="34" customFormat="1" ht="21">
      <c r="A97" s="26" t="s">
        <v>312</v>
      </c>
      <c r="B97" s="35" t="s">
        <v>260</v>
      </c>
      <c r="C97" s="26" t="s">
        <v>25</v>
      </c>
      <c r="D97" s="28" t="s">
        <v>313</v>
      </c>
      <c r="E97" s="29" t="s">
        <v>25</v>
      </c>
      <c r="F97" s="30">
        <f>100</f>
        <v>100</v>
      </c>
      <c r="G97" s="36">
        <v>0</v>
      </c>
      <c r="H97" s="32" t="s">
        <v>25</v>
      </c>
      <c r="I97" s="33">
        <f t="shared" si="2"/>
        <v>100</v>
      </c>
    </row>
    <row r="98" spans="1:9" s="34" customFormat="1" ht="21">
      <c r="A98" s="26" t="s">
        <v>314</v>
      </c>
      <c r="B98" s="35" t="s">
        <v>260</v>
      </c>
      <c r="C98" s="26" t="s">
        <v>25</v>
      </c>
      <c r="D98" s="28" t="s">
        <v>315</v>
      </c>
      <c r="E98" s="29" t="s">
        <v>25</v>
      </c>
      <c r="F98" s="30">
        <f>100</f>
        <v>100</v>
      </c>
      <c r="G98" s="36">
        <v>0</v>
      </c>
      <c r="H98" s="32" t="s">
        <v>25</v>
      </c>
      <c r="I98" s="33">
        <f t="shared" si="2"/>
        <v>100</v>
      </c>
    </row>
    <row r="99" spans="1:9" s="34" customFormat="1" ht="21">
      <c r="A99" s="26" t="s">
        <v>316</v>
      </c>
      <c r="B99" s="35" t="s">
        <v>260</v>
      </c>
      <c r="C99" s="26" t="s">
        <v>25</v>
      </c>
      <c r="D99" s="28" t="s">
        <v>317</v>
      </c>
      <c r="E99" s="29" t="s">
        <v>25</v>
      </c>
      <c r="F99" s="30">
        <f>71650</f>
        <v>71650</v>
      </c>
      <c r="G99" s="36">
        <v>0</v>
      </c>
      <c r="H99" s="32" t="s">
        <v>25</v>
      </c>
      <c r="I99" s="33">
        <f t="shared" si="2"/>
        <v>100</v>
      </c>
    </row>
    <row r="100" spans="1:9" s="34" customFormat="1" ht="21">
      <c r="A100" s="26" t="s">
        <v>318</v>
      </c>
      <c r="B100" s="35" t="s">
        <v>319</v>
      </c>
      <c r="C100" s="26" t="s">
        <v>320</v>
      </c>
      <c r="D100" s="28" t="s">
        <v>321</v>
      </c>
      <c r="E100" s="29" t="s">
        <v>25</v>
      </c>
      <c r="F100" s="30">
        <f>70801.28</f>
        <v>70801.28</v>
      </c>
      <c r="G100" s="36">
        <v>0</v>
      </c>
      <c r="H100" s="32" t="s">
        <v>322</v>
      </c>
      <c r="I100" s="33">
        <f t="shared" si="2"/>
        <v>100</v>
      </c>
    </row>
    <row r="101" spans="1:9" s="34" customFormat="1" ht="21">
      <c r="A101" s="26" t="s">
        <v>323</v>
      </c>
      <c r="B101" s="35" t="s">
        <v>324</v>
      </c>
      <c r="C101" s="26" t="s">
        <v>325</v>
      </c>
      <c r="D101" s="28" t="s">
        <v>60</v>
      </c>
      <c r="E101" s="29" t="s">
        <v>25</v>
      </c>
      <c r="F101" s="30">
        <f>55179</f>
        <v>55179</v>
      </c>
      <c r="G101" s="31">
        <f>20900</f>
        <v>20900</v>
      </c>
      <c r="H101" s="32" t="s">
        <v>77</v>
      </c>
      <c r="I101" s="33">
        <f t="shared" si="2"/>
        <v>62.12327153446057</v>
      </c>
    </row>
    <row r="102" spans="1:9" s="34" customFormat="1" ht="21">
      <c r="A102" s="26" t="s">
        <v>326</v>
      </c>
      <c r="B102" s="35" t="s">
        <v>327</v>
      </c>
      <c r="C102" s="26" t="s">
        <v>328</v>
      </c>
      <c r="D102" s="28" t="s">
        <v>329</v>
      </c>
      <c r="E102" s="29" t="s">
        <v>264</v>
      </c>
      <c r="F102" s="30">
        <f>40924.48</f>
        <v>40924.48</v>
      </c>
      <c r="G102" s="31">
        <f>23530.98</f>
        <v>23530.98</v>
      </c>
      <c r="H102" s="32" t="s">
        <v>52</v>
      </c>
      <c r="I102" s="33">
        <f t="shared" si="2"/>
        <v>42.50145634104575</v>
      </c>
    </row>
    <row r="103" spans="1:9" s="34" customFormat="1" ht="21">
      <c r="A103" s="26" t="s">
        <v>330</v>
      </c>
      <c r="B103" s="35" t="s">
        <v>331</v>
      </c>
      <c r="C103" s="26" t="s">
        <v>25</v>
      </c>
      <c r="D103" s="28" t="s">
        <v>332</v>
      </c>
      <c r="E103" s="29" t="s">
        <v>25</v>
      </c>
      <c r="F103" s="30">
        <f>467398.94</f>
        <v>467398.94</v>
      </c>
      <c r="G103" s="31">
        <f>301939.77</f>
        <v>301939.77</v>
      </c>
      <c r="H103" s="32" t="s">
        <v>333</v>
      </c>
      <c r="I103" s="33">
        <f t="shared" si="2"/>
        <v>35.39998828409837</v>
      </c>
    </row>
    <row r="104" spans="1:9" s="34" customFormat="1" ht="21">
      <c r="A104" s="26" t="s">
        <v>334</v>
      </c>
      <c r="B104" s="35" t="s">
        <v>335</v>
      </c>
      <c r="C104" s="26" t="s">
        <v>336</v>
      </c>
      <c r="D104" s="28" t="s">
        <v>337</v>
      </c>
      <c r="E104" s="29" t="s">
        <v>25</v>
      </c>
      <c r="F104" s="30">
        <f>74127.36</f>
        <v>74127.36</v>
      </c>
      <c r="G104" s="31">
        <f>14825</f>
        <v>14825</v>
      </c>
      <c r="H104" s="32" t="s">
        <v>338</v>
      </c>
      <c r="I104" s="33">
        <f t="shared" si="2"/>
        <v>80.00063674195331</v>
      </c>
    </row>
    <row r="105" spans="1:9" s="34" customFormat="1" ht="21">
      <c r="A105" s="26" t="s">
        <v>339</v>
      </c>
      <c r="B105" s="35" t="s">
        <v>340</v>
      </c>
      <c r="C105" s="26" t="s">
        <v>341</v>
      </c>
      <c r="D105" s="28" t="s">
        <v>29</v>
      </c>
      <c r="E105" s="29" t="s">
        <v>342</v>
      </c>
      <c r="F105" s="30">
        <f>337677.15</f>
        <v>337677.15</v>
      </c>
      <c r="G105" s="31">
        <f>189099.39</f>
        <v>189099.39</v>
      </c>
      <c r="H105" s="32" t="s">
        <v>205</v>
      </c>
      <c r="I105" s="33">
        <f t="shared" si="2"/>
        <v>43.999944917800924</v>
      </c>
    </row>
    <row r="106" spans="1:9" s="34" customFormat="1" ht="21">
      <c r="A106" s="26" t="s">
        <v>343</v>
      </c>
      <c r="B106" s="35" t="s">
        <v>344</v>
      </c>
      <c r="C106" s="26" t="s">
        <v>345</v>
      </c>
      <c r="D106" s="28" t="s">
        <v>346</v>
      </c>
      <c r="E106" s="29" t="s">
        <v>25</v>
      </c>
      <c r="F106" s="30">
        <f>325134</f>
        <v>325134</v>
      </c>
      <c r="G106" s="31">
        <f>178823.43</f>
        <v>178823.43</v>
      </c>
      <c r="H106" s="32" t="s">
        <v>347</v>
      </c>
      <c r="I106" s="33">
        <f t="shared" si="2"/>
        <v>45.00008304268394</v>
      </c>
    </row>
    <row r="107" spans="1:9" s="34" customFormat="1" ht="21">
      <c r="A107" s="26" t="s">
        <v>348</v>
      </c>
      <c r="B107" s="35" t="s">
        <v>349</v>
      </c>
      <c r="C107" s="26" t="s">
        <v>350</v>
      </c>
      <c r="D107" s="28" t="s">
        <v>351</v>
      </c>
      <c r="E107" s="29" t="s">
        <v>147</v>
      </c>
      <c r="F107" s="30">
        <f>127500</f>
        <v>127500</v>
      </c>
      <c r="G107" s="36">
        <v>0</v>
      </c>
      <c r="H107" s="32" t="s">
        <v>188</v>
      </c>
      <c r="I107" s="33">
        <f t="shared" si="2"/>
        <v>100</v>
      </c>
    </row>
    <row r="108" spans="1:9" s="34" customFormat="1" ht="31.5">
      <c r="A108" s="26" t="s">
        <v>352</v>
      </c>
      <c r="B108" s="35" t="s">
        <v>349</v>
      </c>
      <c r="C108" s="26" t="s">
        <v>353</v>
      </c>
      <c r="D108" s="28" t="s">
        <v>354</v>
      </c>
      <c r="E108" s="29" t="s">
        <v>25</v>
      </c>
      <c r="F108" s="30">
        <f>6179</f>
        <v>6179</v>
      </c>
      <c r="G108" s="36">
        <v>0</v>
      </c>
      <c r="H108" s="32" t="s">
        <v>355</v>
      </c>
      <c r="I108" s="33">
        <f t="shared" si="2"/>
        <v>100</v>
      </c>
    </row>
    <row r="109" spans="1:9" s="34" customFormat="1" ht="21">
      <c r="A109" s="26" t="s">
        <v>356</v>
      </c>
      <c r="B109" s="35" t="s">
        <v>357</v>
      </c>
      <c r="C109" s="26" t="s">
        <v>358</v>
      </c>
      <c r="D109" s="28" t="s">
        <v>359</v>
      </c>
      <c r="E109" s="29" t="s">
        <v>25</v>
      </c>
      <c r="F109" s="30">
        <f>77871</f>
        <v>77871</v>
      </c>
      <c r="G109" s="36">
        <v>0</v>
      </c>
      <c r="H109" s="32" t="s">
        <v>58</v>
      </c>
      <c r="I109" s="33">
        <f t="shared" si="2"/>
        <v>100</v>
      </c>
    </row>
    <row r="110" spans="1:9" s="34" customFormat="1" ht="21">
      <c r="A110" s="26" t="s">
        <v>360</v>
      </c>
      <c r="B110" s="35" t="s">
        <v>361</v>
      </c>
      <c r="C110" s="26" t="s">
        <v>362</v>
      </c>
      <c r="D110" s="28" t="s">
        <v>363</v>
      </c>
      <c r="E110" s="29" t="s">
        <v>364</v>
      </c>
      <c r="F110" s="30">
        <f>151130</f>
        <v>151130</v>
      </c>
      <c r="G110" s="31">
        <f>105790.56</f>
        <v>105790.56</v>
      </c>
      <c r="H110" s="32" t="s">
        <v>244</v>
      </c>
      <c r="I110" s="33">
        <f t="shared" si="2"/>
        <v>30.000291140078076</v>
      </c>
    </row>
    <row r="111" spans="1:9" s="34" customFormat="1" ht="31.5">
      <c r="A111" s="26" t="s">
        <v>365</v>
      </c>
      <c r="B111" s="35" t="s">
        <v>366</v>
      </c>
      <c r="C111" s="26" t="s">
        <v>367</v>
      </c>
      <c r="D111" s="28" t="s">
        <v>368</v>
      </c>
      <c r="E111" s="29" t="s">
        <v>25</v>
      </c>
      <c r="F111" s="30">
        <f>88168</f>
        <v>88168</v>
      </c>
      <c r="G111" s="31">
        <v>61717.37</v>
      </c>
      <c r="H111" s="32" t="s">
        <v>244</v>
      </c>
      <c r="I111" s="33">
        <f t="shared" si="2"/>
        <v>30.000260865620177</v>
      </c>
    </row>
    <row r="112" spans="1:9" s="34" customFormat="1" ht="21">
      <c r="A112" s="26" t="s">
        <v>369</v>
      </c>
      <c r="B112" s="35" t="s">
        <v>366</v>
      </c>
      <c r="C112" s="26" t="s">
        <v>370</v>
      </c>
      <c r="D112" s="28" t="s">
        <v>371</v>
      </c>
      <c r="E112" s="29" t="s">
        <v>25</v>
      </c>
      <c r="F112" s="30">
        <f>101000</f>
        <v>101000</v>
      </c>
      <c r="G112" s="36">
        <v>0</v>
      </c>
      <c r="H112" s="32" t="s">
        <v>89</v>
      </c>
      <c r="I112" s="33">
        <f t="shared" si="2"/>
        <v>100</v>
      </c>
    </row>
    <row r="113" spans="1:9" s="34" customFormat="1" ht="21">
      <c r="A113" s="26" t="s">
        <v>372</v>
      </c>
      <c r="B113" s="35" t="s">
        <v>366</v>
      </c>
      <c r="C113" s="26" t="s">
        <v>373</v>
      </c>
      <c r="D113" s="28" t="s">
        <v>374</v>
      </c>
      <c r="E113" s="29" t="s">
        <v>25</v>
      </c>
      <c r="F113" s="30">
        <f>102000</f>
        <v>102000</v>
      </c>
      <c r="G113" s="36">
        <v>0</v>
      </c>
      <c r="H113" s="32" t="s">
        <v>107</v>
      </c>
      <c r="I113" s="33">
        <f t="shared" si="2"/>
        <v>100</v>
      </c>
    </row>
    <row r="114" spans="1:9" s="34" customFormat="1" ht="21">
      <c r="A114" s="26" t="s">
        <v>375</v>
      </c>
      <c r="B114" s="35" t="s">
        <v>366</v>
      </c>
      <c r="C114" s="26" t="s">
        <v>376</v>
      </c>
      <c r="D114" s="28" t="s">
        <v>377</v>
      </c>
      <c r="E114" s="29" t="s">
        <v>25</v>
      </c>
      <c r="F114" s="30">
        <f>103000</f>
        <v>103000</v>
      </c>
      <c r="G114" s="36">
        <v>0</v>
      </c>
      <c r="H114" s="32" t="s">
        <v>322</v>
      </c>
      <c r="I114" s="33">
        <f t="shared" si="2"/>
        <v>100</v>
      </c>
    </row>
    <row r="115" spans="1:9" s="34" customFormat="1" ht="21">
      <c r="A115" s="26" t="s">
        <v>378</v>
      </c>
      <c r="B115" s="35" t="s">
        <v>366</v>
      </c>
      <c r="C115" s="26" t="s">
        <v>379</v>
      </c>
      <c r="D115" s="28" t="s">
        <v>380</v>
      </c>
      <c r="E115" s="29" t="s">
        <v>25</v>
      </c>
      <c r="F115" s="30">
        <f>104000</f>
        <v>104000</v>
      </c>
      <c r="G115" s="36">
        <v>0</v>
      </c>
      <c r="H115" s="32" t="s">
        <v>77</v>
      </c>
      <c r="I115" s="33">
        <f t="shared" si="2"/>
        <v>100</v>
      </c>
    </row>
    <row r="116" spans="1:9" s="34" customFormat="1" ht="42.75" thickBot="1">
      <c r="A116" s="26" t="s">
        <v>381</v>
      </c>
      <c r="B116" s="37" t="s">
        <v>382</v>
      </c>
      <c r="C116" s="26" t="s">
        <v>383</v>
      </c>
      <c r="D116" s="28" t="s">
        <v>384</v>
      </c>
      <c r="E116" s="29" t="s">
        <v>163</v>
      </c>
      <c r="F116" s="30">
        <f>30000</f>
        <v>30000</v>
      </c>
      <c r="G116" s="36">
        <v>0</v>
      </c>
      <c r="H116" s="32" t="s">
        <v>68</v>
      </c>
      <c r="I116" s="33">
        <f t="shared" si="2"/>
        <v>100</v>
      </c>
    </row>
    <row r="117" spans="1:9" s="22" customFormat="1" ht="13.5" thickBot="1">
      <c r="A117" s="71" t="s">
        <v>37</v>
      </c>
      <c r="B117" s="71"/>
      <c r="C117" s="71"/>
      <c r="D117" s="71"/>
      <c r="E117" s="17" t="s">
        <v>385</v>
      </c>
      <c r="F117" s="18">
        <f>34994394.65</f>
        <v>34994394.65</v>
      </c>
      <c r="G117" s="19">
        <f>5315130.91</f>
        <v>5315130.91</v>
      </c>
      <c r="H117" s="38" t="s">
        <v>39</v>
      </c>
      <c r="I117" s="39"/>
    </row>
    <row r="118" ht="15">
      <c r="I118" s="14"/>
    </row>
    <row r="119" spans="1:9" ht="22.5">
      <c r="A119" s="40"/>
      <c r="B119" s="40" t="s">
        <v>386</v>
      </c>
      <c r="C119" s="40"/>
      <c r="D119" s="40"/>
      <c r="E119" s="40"/>
      <c r="F119" s="40"/>
      <c r="G119" s="40"/>
      <c r="H119" s="41"/>
      <c r="I119" s="42"/>
    </row>
    <row r="120" spans="1:9" ht="15">
      <c r="A120" s="43">
        <v>1</v>
      </c>
      <c r="B120" s="44" t="s">
        <v>387</v>
      </c>
      <c r="C120" s="44"/>
      <c r="D120" s="44" t="s">
        <v>388</v>
      </c>
      <c r="E120" s="43">
        <v>1</v>
      </c>
      <c r="F120" s="44">
        <v>4541.7</v>
      </c>
      <c r="G120" s="45">
        <v>0</v>
      </c>
      <c r="H120" s="46">
        <v>1998</v>
      </c>
      <c r="I120" s="47"/>
    </row>
    <row r="121" spans="1:9" ht="15">
      <c r="A121" s="43">
        <v>2</v>
      </c>
      <c r="B121" s="44" t="s">
        <v>389</v>
      </c>
      <c r="C121" s="44"/>
      <c r="D121" s="44" t="s">
        <v>388</v>
      </c>
      <c r="E121" s="43">
        <v>2</v>
      </c>
      <c r="F121" s="44">
        <v>12922.88</v>
      </c>
      <c r="G121" s="45">
        <v>0</v>
      </c>
      <c r="H121" s="46">
        <v>2005</v>
      </c>
      <c r="I121" s="47"/>
    </row>
    <row r="122" spans="1:9" ht="15">
      <c r="A122" s="43">
        <v>3</v>
      </c>
      <c r="B122" s="44" t="s">
        <v>390</v>
      </c>
      <c r="C122" s="44"/>
      <c r="D122" s="44" t="s">
        <v>388</v>
      </c>
      <c r="E122" s="43">
        <v>2</v>
      </c>
      <c r="F122" s="44">
        <v>202442.68</v>
      </c>
      <c r="G122" s="45">
        <v>0</v>
      </c>
      <c r="H122" s="46">
        <v>2005</v>
      </c>
      <c r="I122" s="47"/>
    </row>
    <row r="123" spans="1:9" ht="15">
      <c r="A123" s="43">
        <v>4</v>
      </c>
      <c r="B123" s="44" t="s">
        <v>391</v>
      </c>
      <c r="C123" s="44"/>
      <c r="D123" s="44" t="s">
        <v>388</v>
      </c>
      <c r="E123" s="43">
        <v>1</v>
      </c>
      <c r="F123" s="44">
        <v>26946</v>
      </c>
      <c r="G123" s="45">
        <v>0</v>
      </c>
      <c r="H123" s="46">
        <v>2006</v>
      </c>
      <c r="I123" s="47"/>
    </row>
    <row r="124" spans="1:9" ht="15">
      <c r="A124" s="43">
        <v>5</v>
      </c>
      <c r="B124" s="44" t="s">
        <v>392</v>
      </c>
      <c r="C124" s="44"/>
      <c r="D124" s="44" t="s">
        <v>388</v>
      </c>
      <c r="E124" s="43">
        <v>1</v>
      </c>
      <c r="F124" s="44">
        <v>12853.76</v>
      </c>
      <c r="G124" s="44">
        <v>0</v>
      </c>
      <c r="H124" s="46">
        <v>2005</v>
      </c>
      <c r="I124" s="47"/>
    </row>
    <row r="125" spans="1:9" ht="15">
      <c r="A125" s="43">
        <v>6</v>
      </c>
      <c r="B125" s="44" t="s">
        <v>393</v>
      </c>
      <c r="C125" s="44"/>
      <c r="D125" s="44" t="s">
        <v>388</v>
      </c>
      <c r="E125" s="43">
        <v>1</v>
      </c>
      <c r="F125" s="44">
        <v>15376.27</v>
      </c>
      <c r="G125" s="44">
        <v>0</v>
      </c>
      <c r="H125" s="46">
        <v>2005</v>
      </c>
      <c r="I125" s="47"/>
    </row>
    <row r="126" spans="1:9" ht="22.5">
      <c r="A126" s="43">
        <v>7</v>
      </c>
      <c r="B126" s="44" t="s">
        <v>394</v>
      </c>
      <c r="C126" s="44"/>
      <c r="D126" s="44" t="s">
        <v>388</v>
      </c>
      <c r="E126" s="43">
        <v>1</v>
      </c>
      <c r="F126" s="44">
        <v>17576.96</v>
      </c>
      <c r="G126" s="44">
        <v>0</v>
      </c>
      <c r="H126" s="46">
        <v>2001</v>
      </c>
      <c r="I126" s="47"/>
    </row>
    <row r="127" spans="1:9" ht="15">
      <c r="A127" s="43">
        <v>8</v>
      </c>
      <c r="B127" s="48" t="s">
        <v>395</v>
      </c>
      <c r="C127" s="48"/>
      <c r="D127" s="48" t="s">
        <v>396</v>
      </c>
      <c r="E127" s="48">
        <v>1</v>
      </c>
      <c r="F127" s="44">
        <v>454</v>
      </c>
      <c r="G127" s="44">
        <v>0</v>
      </c>
      <c r="H127" s="49">
        <v>2004</v>
      </c>
      <c r="I127" s="47"/>
    </row>
    <row r="128" spans="1:9" ht="15">
      <c r="A128" s="43">
        <v>9</v>
      </c>
      <c r="B128" s="48" t="s">
        <v>397</v>
      </c>
      <c r="C128" s="48"/>
      <c r="D128" s="48" t="s">
        <v>396</v>
      </c>
      <c r="E128" s="48">
        <v>1</v>
      </c>
      <c r="F128" s="44">
        <v>10080</v>
      </c>
      <c r="G128" s="44">
        <v>0</v>
      </c>
      <c r="H128" s="49">
        <v>2004</v>
      </c>
      <c r="I128" s="47"/>
    </row>
    <row r="129" spans="1:9" ht="22.5">
      <c r="A129" s="43">
        <v>11</v>
      </c>
      <c r="B129" s="50" t="s">
        <v>398</v>
      </c>
      <c r="C129" s="50"/>
      <c r="D129" s="50" t="s">
        <v>399</v>
      </c>
      <c r="E129" s="50">
        <v>1</v>
      </c>
      <c r="F129" s="50">
        <v>25595.93</v>
      </c>
      <c r="G129" s="45">
        <v>0</v>
      </c>
      <c r="H129" s="51">
        <v>2006</v>
      </c>
      <c r="I129" s="47"/>
    </row>
    <row r="130" spans="1:9" ht="22.5">
      <c r="A130" s="43">
        <v>12</v>
      </c>
      <c r="B130" s="50" t="s">
        <v>400</v>
      </c>
      <c r="C130" s="50"/>
      <c r="D130" s="50" t="s">
        <v>399</v>
      </c>
      <c r="E130" s="50">
        <v>1</v>
      </c>
      <c r="F130" s="50">
        <v>51310.1</v>
      </c>
      <c r="G130" s="45">
        <v>0</v>
      </c>
      <c r="H130" s="51">
        <v>2007</v>
      </c>
      <c r="I130" s="47"/>
    </row>
    <row r="131" spans="1:9" ht="15">
      <c r="A131" s="43">
        <v>13</v>
      </c>
      <c r="B131" s="50" t="s">
        <v>401</v>
      </c>
      <c r="C131" s="50"/>
      <c r="D131" s="50"/>
      <c r="E131" s="50">
        <v>1</v>
      </c>
      <c r="F131" s="50">
        <v>74152.54</v>
      </c>
      <c r="G131" s="52">
        <v>14830</v>
      </c>
      <c r="H131" s="51">
        <v>2007</v>
      </c>
      <c r="I131" s="47">
        <f>SUM(100-G131*100/F131)</f>
        <v>80.00068507430764</v>
      </c>
    </row>
    <row r="132" spans="1:9" ht="15">
      <c r="A132" s="43">
        <v>14</v>
      </c>
      <c r="B132" s="50" t="s">
        <v>402</v>
      </c>
      <c r="C132" s="50"/>
      <c r="D132" s="50"/>
      <c r="E132" s="50">
        <v>1</v>
      </c>
      <c r="F132" s="50">
        <v>14406.78</v>
      </c>
      <c r="G132" s="45">
        <v>0</v>
      </c>
      <c r="H132" s="51">
        <v>2007</v>
      </c>
      <c r="I132" s="47">
        <f>SUM(100-G132*100/F132)</f>
        <v>100</v>
      </c>
    </row>
    <row r="133" spans="1:9" ht="23.25" thickBot="1">
      <c r="A133" s="43">
        <v>15</v>
      </c>
      <c r="B133" s="50" t="s">
        <v>403</v>
      </c>
      <c r="C133" s="50"/>
      <c r="D133" s="50" t="s">
        <v>404</v>
      </c>
      <c r="E133" s="50">
        <v>1</v>
      </c>
      <c r="F133" s="50">
        <v>297500</v>
      </c>
      <c r="G133" s="50">
        <v>59500</v>
      </c>
      <c r="H133" s="51">
        <v>2007</v>
      </c>
      <c r="I133" s="47">
        <f>SUM(100-G133*100/F133)</f>
        <v>80</v>
      </c>
    </row>
    <row r="134" spans="1:9" ht="15">
      <c r="A134" s="53"/>
      <c r="B134" s="54" t="s">
        <v>405</v>
      </c>
      <c r="C134" s="54"/>
      <c r="D134" s="55"/>
      <c r="E134" s="55">
        <f>SUM(E120:E133)</f>
        <v>16</v>
      </c>
      <c r="F134" s="56">
        <f>SUM(F120:F133)</f>
        <v>766159.6</v>
      </c>
      <c r="G134" s="56">
        <f>SUM(G120:G133)</f>
        <v>74330</v>
      </c>
      <c r="H134" s="57" t="s">
        <v>39</v>
      </c>
      <c r="I134" s="42"/>
    </row>
    <row r="135" spans="1:9" s="62" customFormat="1" ht="10.5">
      <c r="A135" s="58"/>
      <c r="B135" s="58" t="s">
        <v>406</v>
      </c>
      <c r="C135" s="58"/>
      <c r="D135" s="59"/>
      <c r="E135" s="58"/>
      <c r="F135" s="60">
        <f>SUM(F134+F117+F14)</f>
        <v>38244608.1</v>
      </c>
      <c r="G135" s="60">
        <f>SUM(G134+G117+G14)</f>
        <v>5566804.58</v>
      </c>
      <c r="H135" s="61"/>
      <c r="I135" s="58"/>
    </row>
    <row r="138" spans="1:9" ht="15">
      <c r="A138" s="66" t="s">
        <v>409</v>
      </c>
      <c r="B138" s="66"/>
      <c r="C138" s="66"/>
      <c r="D138" s="66"/>
      <c r="E138" s="66"/>
      <c r="F138" s="66"/>
      <c r="G138" s="66"/>
      <c r="H138" s="66"/>
      <c r="I138" s="66"/>
    </row>
    <row r="139" spans="5:9" ht="15">
      <c r="E139" s="64"/>
      <c r="I139"/>
    </row>
    <row r="140" spans="1:9" ht="15">
      <c r="A140" t="s">
        <v>410</v>
      </c>
      <c r="E140" s="64" t="s">
        <v>411</v>
      </c>
      <c r="I140"/>
    </row>
    <row r="141" spans="1:9" ht="15">
      <c r="A141" t="s">
        <v>412</v>
      </c>
      <c r="E141" s="64" t="s">
        <v>413</v>
      </c>
      <c r="I141"/>
    </row>
    <row r="142" spans="1:9" ht="15">
      <c r="A142" t="s">
        <v>414</v>
      </c>
      <c r="E142" s="64" t="s">
        <v>413</v>
      </c>
      <c r="I142"/>
    </row>
    <row r="143" spans="1:9" ht="15">
      <c r="A143" t="s">
        <v>415</v>
      </c>
      <c r="E143" s="64" t="s">
        <v>413</v>
      </c>
      <c r="I143"/>
    </row>
    <row r="144" spans="1:9" ht="15">
      <c r="A144" t="s">
        <v>416</v>
      </c>
      <c r="E144" s="64" t="s">
        <v>413</v>
      </c>
      <c r="I144"/>
    </row>
  </sheetData>
  <sheetProtection/>
  <mergeCells count="23">
    <mergeCell ref="E15:E16"/>
    <mergeCell ref="F15:G15"/>
    <mergeCell ref="H15:H16"/>
    <mergeCell ref="D8:D9"/>
    <mergeCell ref="E8:E9"/>
    <mergeCell ref="F8:G8"/>
    <mergeCell ref="A117:D117"/>
    <mergeCell ref="H8:H9"/>
    <mergeCell ref="A14:D14"/>
    <mergeCell ref="A15:A16"/>
    <mergeCell ref="B15:B16"/>
    <mergeCell ref="C15:C16"/>
    <mergeCell ref="D15:D16"/>
    <mergeCell ref="A7:I7"/>
    <mergeCell ref="A138:I138"/>
    <mergeCell ref="G1:H1"/>
    <mergeCell ref="E2:I2"/>
    <mergeCell ref="E3:I3"/>
    <mergeCell ref="E4:I4"/>
    <mergeCell ref="E5:I5"/>
    <mergeCell ref="A8:A9"/>
    <mergeCell ref="B8:B9"/>
    <mergeCell ref="C8:C9"/>
  </mergeCells>
  <printOptions/>
  <pageMargins left="0.7086614173228347" right="0.7086614173228347" top="0.32" bottom="0.7480314960629921" header="0.17" footer="0.31496062992125984"/>
  <pageSetup fitToHeight="6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2013-08-12T09:15:41Z</cp:lastPrinted>
  <dcterms:created xsi:type="dcterms:W3CDTF">2013-08-12T05:13:49Z</dcterms:created>
  <dcterms:modified xsi:type="dcterms:W3CDTF">2013-08-14T02:29:24Z</dcterms:modified>
  <cp:category/>
  <cp:version/>
  <cp:contentType/>
  <cp:contentStatus/>
</cp:coreProperties>
</file>